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
    </mc:Choice>
  </mc:AlternateContent>
  <bookViews>
    <workbookView xWindow="0" yWindow="0" windowWidth="19200" windowHeight="6260" tabRatio="751" firstSheet="1" activeTab="6"/>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et_union_hor" sheetId="11" state="hidden" r:id="rId11"/>
    <sheet name="Договоры" sheetId="12" state="hidden" r:id="rId12"/>
    <sheet name="ТС. Т-ТЭ | &gt;=25МВт" sheetId="13" state="hidden" r:id="rId13"/>
    <sheet name="ТС. Т-ТЭ | ТСО"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TEHSHEET" sheetId="21" state="hidden" r:id="rId21"/>
    <sheet name="DATA_FORMS" sheetId="22" state="hidden" r:id="rId22"/>
    <sheet name="DATA_NPA" sheetId="23" state="hidden" r:id="rId23"/>
    <sheet name="Т-ТЭ | потр" sheetId="24" state="hidden" r:id="rId24"/>
    <sheet name="Т-ТЭ | предел" sheetId="25" state="hidden" r:id="rId25"/>
    <sheet name="Т-ТЭ | индикат" sheetId="26" state="hidden" r:id="rId26"/>
    <sheet name="Т-подкл(инд)" sheetId="27" state="hidden" r:id="rId27"/>
    <sheet name="Порядок ТП" sheetId="28" state="hidden" r:id="rId28"/>
    <sheet name="Сведения о закупках" sheetId="29" state="hidden" r:id="rId29"/>
    <sheet name="modMainProcedures" sheetId="30" state="hidden" r:id="rId30"/>
    <sheet name="Потребительские характеристики" sheetId="31" state="hidden" r:id="rId31"/>
    <sheet name="ТП" sheetId="32" state="hidden" r:id="rId32"/>
    <sheet name="Ограничения" sheetId="33" state="hidden" r:id="rId33"/>
    <sheet name="Предложение" sheetId="34" state="hidden" r:id="rId34"/>
    <sheet name="ХВС. Т-пит" sheetId="35" state="hidden" r:id="rId35"/>
    <sheet name="ХВС. Т-тех" sheetId="36" state="hidden" r:id="rId36"/>
    <sheet name="ХВС. Т-транс" sheetId="37" state="hidden" r:id="rId37"/>
    <sheet name="ХВС. Т-подвоз" sheetId="38" state="hidden" r:id="rId38"/>
    <sheet name="ХВС. Т-подкл" sheetId="39" state="hidden" r:id="rId39"/>
    <sheet name="Показатели ФХД" sheetId="40" state="hidden" r:id="rId40"/>
    <sheet name="Показатели ФХД &gt;20%" sheetId="41" state="hidden" r:id="rId41"/>
    <sheet name="ТКО. Показатели ФХД" sheetId="42" state="hidden" r:id="rId42"/>
    <sheet name="ТКО. Транс. Показатели ФХД" sheetId="43" state="hidden" r:id="rId43"/>
    <sheet name="Показатели КНЭ" sheetId="44" state="hidden" r:id="rId44"/>
    <sheet name="ИП" sheetId="45" state="hidden" r:id="rId45"/>
    <sheet name="ИП. Детализация" sheetId="46" state="hidden" r:id="rId46"/>
    <sheet name="ИП. Финансовый план" sheetId="47" state="hidden" r:id="rId47"/>
    <sheet name="ИП. КНЭ" sheetId="48" state="hidden" r:id="rId48"/>
    <sheet name="ГВС. Т-гор.вода" sheetId="49" state="hidden" r:id="rId49"/>
    <sheet name="ГВС. Т-транс" sheetId="50" state="hidden" r:id="rId50"/>
    <sheet name="ГВС. Т-подкл" sheetId="51" state="hidden" r:id="rId51"/>
    <sheet name="ВО. Т-во" sheetId="52" state="hidden" r:id="rId52"/>
    <sheet name="ВО. Т-транс" sheetId="53" state="hidden" r:id="rId53"/>
    <sheet name="ВО. Т-подкл" sheetId="54" state="hidden" r:id="rId54"/>
    <sheet name="modB_FHD" sheetId="55" state="hidden" r:id="rId55"/>
    <sheet name="modB_FHD20" sheetId="56" state="hidden" r:id="rId56"/>
    <sheet name="modB_KNE" sheetId="57" state="hidden" r:id="rId57"/>
    <sheet name="modIP_MAIN" sheetId="58" state="hidden" r:id="rId58"/>
    <sheet name="modIP_QRE" sheetId="59" state="hidden" r:id="rId59"/>
    <sheet name="modIP_DETAILED" sheetId="60" state="hidden" r:id="rId60"/>
    <sheet name="ЭД" sheetId="61" state="hidden" r:id="rId61"/>
    <sheet name="Сведения об изменении" sheetId="62" state="hidden" r:id="rId62"/>
    <sheet name="Орган регулирования" sheetId="63" state="hidden" r:id="rId63"/>
    <sheet name="Перечень организаций" sheetId="64" state="hidden" r:id="rId64"/>
    <sheet name="Дела об установлении тарифов" sheetId="65" state="hidden" r:id="rId65"/>
    <sheet name="Привлечение к ответственности" sheetId="66" state="hidden" r:id="rId66"/>
    <sheet name="Комментарии" sheetId="67" r:id="rId67"/>
    <sheet name="Проверка"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6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et_union_hor!$103:$111</definedName>
    <definedName name="et_B_FHD20_1_HEAT">et_union_hor!$115:$123</definedName>
    <definedName name="et_B_FHD20_1_NOT_HEAT">et_union_hor!$103:$111</definedName>
    <definedName name="et_B_FHD20_2">et_union_hor!$127:$130</definedName>
    <definedName name="et_B_FHD20_3">et_union_hor!$135:$136</definedName>
    <definedName name="et_B_FHD20_4">et_union_hor!$138:$138</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et_union_hor!$25:$26</definedName>
    <definedName name="et_DIFFERENTIATION_SYSTEM">et_union_hor!$30:$30</definedName>
    <definedName name="et_DIFFERENTIATION_TARIFF_COLOR">et_union_hor!$H$142:$W$146</definedName>
    <definedName name="et_DIFFERENTIATION_TARIFF_CS">et_union_hor!$157:$158</definedName>
    <definedName name="et_DIFFERENTIATION_TARIFF_IST_TE">et_union_hor!$160:$160</definedName>
    <definedName name="et_DIFFERENTIATION_TARIFF_NOT_COLOR">et_union_hor!$H$182:$W$186</definedName>
    <definedName name="et_DIFFERENTIATION_TARIFF_NOT_HEAT_COLOR">et_union_hor!$H$164:$W$168</definedName>
    <definedName name="et_DIFFERENTIATION_TARIFF_NOT_HEAT_CS">et_union_hor!$179:$180</definedName>
    <definedName name="et_DIFFERENTIATION_TARIFF_NOT_HEAT_NTAR">et_union_hor!$170:$173</definedName>
    <definedName name="et_DIFFERENTIATION_TARIFF_NOT_HEAT_TER">et_union_hor!$175:$177</definedName>
    <definedName name="et_DIFFERENTIATION_TARIFF_NOT_HEAT_VTAR">et_union_hor!$164:$168</definedName>
    <definedName name="et_DIFFERENTIATION_TARIFF_NTAR">et_union_hor!$148:$151</definedName>
    <definedName name="et_DIFFERENTIATION_TARIFF_TER">et_union_hor!$153:$155</definedName>
    <definedName name="et_DIFFERENTIATION_TARIFF_VTAR">et_union_hor!$142:$146</definedName>
    <definedName name="et_DIFFERENTIATION_TKO_CLASS_TKO">et_union_hor!$190:$190</definedName>
    <definedName name="et_DIFFERENTIATION_TKO_COLOR">et_union_hor!$H$190:$AI$195</definedName>
    <definedName name="et_DIFFERENTIATION_TKO_NOT_COLOR">et_union_hor!$H$197:$AI$202</definedName>
    <definedName name="et_DIFFERENTIATION_TKO_NTAR">et_union_hor!$190:$194</definedName>
    <definedName name="et_DIFFERENTIATION_TKO_TER">et_union_hor!$190:$192</definedName>
    <definedName name="et_DIFFERENTIATION_TKO_TO">et_union_hor!$190:$193</definedName>
    <definedName name="et_DIFFERENTIATION_TKO_TYPE_TKO">et_union_hor!$190:$191</definedName>
    <definedName name="et_DIFFERENTIATION_TKO_VTAR">et_union_hor!$190:$195</definedName>
    <definedName name="et_DIFFERENTIATION_VD">et_union_hor!$19:$21</definedName>
    <definedName name="et_ED">et_union_hor!$52:$52</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et_union_hor!$69:$75</definedName>
    <definedName name="et_IP_DETAILED_EVENT">et_union_hor!$89:$93</definedName>
    <definedName name="et_IP_DETAILED_IST_FIN">et_union_hor!$85:$85</definedName>
    <definedName name="et_IP_DETAILED_OBJECT">et_union_hor!$79:$81</definedName>
    <definedName name="et_IP_DETAILED_YEAR">et_union_hor!$70:$75</definedName>
    <definedName name="et_IP_MAIN">et_union_hor!$60:$61</definedName>
    <definedName name="et_IP_MAIN_PROPERTY">et_union_hor!$65:$65</definedName>
    <definedName name="et_IP_QRE">et_union_hor!$97:$99</definedName>
    <definedName name="et_IP_QRE_CLAIM">et_union_hor!$98:$98</definedName>
    <definedName name="et_List02">et_union_hor!$142:$146</definedName>
    <definedName name="et_List02_1_wd">et_union_hor!$182:$185</definedName>
    <definedName name="et_List02_2_wd">et_union_hor!$182:$184</definedName>
    <definedName name="et_List02_3_wd">et_union_hor!$182:$183</definedName>
    <definedName name="et_List02_4_wd">et_union_hor!$182:$182</definedName>
    <definedName name="et_List02_changeColor_1">et_union_hor!$J$142:$J$145</definedName>
    <definedName name="et_List02_changeColor_1_wd">et_union_hor!$J$182:$J$185</definedName>
    <definedName name="et_List02_changeColor_2">et_union_hor!$N$142:$N$144</definedName>
    <definedName name="et_List02_changeColor_2_wd">et_union_hor!$N$182:$N$184</definedName>
    <definedName name="et_List02_changeColor_3">et_union_hor!$R$142:$R$143</definedName>
    <definedName name="et_List02_changeColor_3_wd">et_union_hor!$R$182:$R$183</definedName>
    <definedName name="et_List02_changeColor_4">et_union_hor!$V$142</definedName>
    <definedName name="et_List02_changeColor_4_wd">et_union_hor!$V$182</definedName>
    <definedName name="et_List02_wd">et_union_hor!$182:$186</definedName>
    <definedName name="et_OFFER_p1">Предложение!$2:$2</definedName>
    <definedName name="et_OFFER_p2">Предложение!$4:$4</definedName>
    <definedName name="et_ORG_INFO_1">et_union_hor!$35:$35</definedName>
    <definedName name="et_ORG_INFO_2">et_union_hor!$39:$39</definedName>
    <definedName name="et_ORG_TERRITORY_MO">et_union_hor!$44:$44</definedName>
    <definedName name="et_ORG_TERRITORY_MO_FLAG_INTERNET">et_union_hor!$J$44</definedName>
    <definedName name="et_ORG_TERRITORY_MO_LINK">et_union_hor!$K$44</definedName>
    <definedName name="et_ORG_VD">et_union_hor!$48:$48</definedName>
    <definedName name="et_ORG_VD_COLDVSNA">et_union_hor!$X$48:$Z$48</definedName>
    <definedName name="et_ORG_VD_FIRST_SYSTEM">et_union_hor!$E$48</definedName>
    <definedName name="et_ORG_VD_HEAT">et_union_hor!$H$48:$R$48</definedName>
    <definedName name="et_ORG_VD_HOTVSNA">et_union_hor!$AB$48:$AC$48</definedName>
    <definedName name="et_ORG_VD_TKO_ACTIVITY">'Виды объектов'!$2:$3</definedName>
    <definedName name="et_ORG_VD_TKO_TYPE_OBJECT">'Виды объектов'!$2:$2</definedName>
    <definedName name="et_ORG_VD_VOTV">et_union_hor!$T$48:$V$48</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et_union_hor!$56:$56</definedName>
    <definedName name="et_Q_TP_DIFFERENTIATION">ТП!$G:$G</definedName>
    <definedName name="et_QRE">et_union_hor!$97:$99</definedName>
    <definedName name="et_QRE_CLAIM">et_union_hor!$98:$98</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et_union_hor!$56:$56</definedName>
    <definedName name="et_TERRITORY_AREA">et_union_hor!$13:$15</definedName>
    <definedName name="et_TERRITORY_MO">et_union_hor!$14:$14</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TARIFF_A_1">Предложение!$18:$19</definedName>
    <definedName name="OFFER_TARIFF_A_2">Предложение!$59:$60</definedName>
    <definedName name="OFFER_TARIFF_A_3">Предложение!$98:$99</definedName>
    <definedName name="OFFER_TARIFF_A_4">Предложение!$137:$138</definedName>
    <definedName name="OFFER_TARIFF_A_5">Предложение!$176:$177</definedName>
    <definedName name="OFFER_TARIFF_A_COLDVSNA_1">Предложение!$34:$35</definedName>
    <definedName name="OFFER_TARIFF_A_COLDVSNA_2">Предложение!$75:$76</definedName>
    <definedName name="OFFER_TARIFF_A_COLDVSNA_3">Предложение!$114:$115</definedName>
    <definedName name="OFFER_TARIFF_A_COLDVSNA_4">Предложение!$153:$154</definedName>
    <definedName name="OFFER_TARIFF_A_COLDVSNA_5">Предложение!$192:$193</definedName>
    <definedName name="OFFER_TARIFF_A_HOTVSNA_1">Предложение!$44:$45</definedName>
    <definedName name="OFFER_TARIFF_A_HOTVSNA_2">Предложение!$85:$86</definedName>
    <definedName name="OFFER_TARIFF_A_HOTVSNA_3">Предложение!$124:$125</definedName>
    <definedName name="OFFER_TARIFF_A_HOTVSNA_4">Предложение!$163:$164</definedName>
    <definedName name="OFFER_TARIFF_A_HOTVSNA_5">Предложение!$202:$203</definedName>
    <definedName name="OFFER_TARIFF_A_VOTV_1">Предложение!$50:$51</definedName>
    <definedName name="OFFER_TARIFF_A_VOTV_2">Предложение!$91:$92</definedName>
    <definedName name="OFFER_TARIFF_A_VOTV_3">Предложение!$130:$131</definedName>
    <definedName name="OFFER_TARIFF_A_VOTV_4">Предложение!$169:$170</definedName>
    <definedName name="OFFER_TARIFF_A_VOTV_5">Предложение!$208:$209</definedName>
    <definedName name="OFFER_TARIFF_B_1">Предложение!$20:$21</definedName>
    <definedName name="OFFER_TARIFF_B_2">Предложение!$61:$62</definedName>
    <definedName name="OFFER_TARIFF_B_3">Предложение!$100:$101</definedName>
    <definedName name="OFFER_TARIFF_B_4">Предложение!$139:$140</definedName>
    <definedName name="OFFER_TARIFF_B_5">Предложение!$178:$179</definedName>
    <definedName name="OFFER_TARIFF_B_COLDVSNA_1">Предложение!$36:$37</definedName>
    <definedName name="OFFER_TARIFF_B_COLDVSNA_2">Предложение!$77:$78</definedName>
    <definedName name="OFFER_TARIFF_B_COLDVSNA_3">Предложение!$116:$117</definedName>
    <definedName name="OFFER_TARIFF_B_COLDVSNA_4">Предложение!$155:$156</definedName>
    <definedName name="OFFER_TARIFF_B_COLDVSNA_5">Предложение!$194:$195</definedName>
    <definedName name="OFFER_TARIFF_B_HOTVSNA_1">Предложение!$46:$47</definedName>
    <definedName name="OFFER_TARIFF_B_HOTVSNA_2">Предложение!$87:$88</definedName>
    <definedName name="OFFER_TARIFF_B_HOTVSNA_3">Предложение!$126:$127</definedName>
    <definedName name="OFFER_TARIFF_B_HOTVSNA_4">Предложение!$165:$166</definedName>
    <definedName name="OFFER_TARIFF_B_HOTVSNA_5">Предложение!$204:$205</definedName>
    <definedName name="OFFER_TARIFF_B_VOTV_1">Предложение!$52:$53</definedName>
    <definedName name="OFFER_TARIFF_B_VOTV_2">Предложение!$93:$94</definedName>
    <definedName name="OFFER_TARIFF_B_VOTV_3">Предложение!$132:$133</definedName>
    <definedName name="OFFER_TARIFF_B_VOTV_4">Предложение!$171:$172</definedName>
    <definedName name="OFFER_TARIFF_B_VOTV_5">Предложение!$210:$211</definedName>
    <definedName name="OFFER_TARIFF_C_1">Предложение!$22:$23</definedName>
    <definedName name="OFFER_TARIFF_C_2">Предложение!$63:$64</definedName>
    <definedName name="OFFER_TARIFF_C_3">Предложение!$102:$103</definedName>
    <definedName name="OFFER_TARIFF_C_4">Предложение!$141:$142</definedName>
    <definedName name="OFFER_TARIFF_C_5">Предложение!$180:$181</definedName>
    <definedName name="OFFER_TARIFF_C_COLDVSNA_1">Предложение!$38:$39</definedName>
    <definedName name="OFFER_TARIFF_C_COLDVSNA_2">Предложение!$79:$80</definedName>
    <definedName name="OFFER_TARIFF_C_COLDVSNA_3">Предложение!$118:$119</definedName>
    <definedName name="OFFER_TARIFF_C_COLDVSNA_4">Предложение!$157:$158</definedName>
    <definedName name="OFFER_TARIFF_C_COLDVSNA_5">Предложение!$196:$197</definedName>
    <definedName name="OFFER_TARIFF_C_HOTVSNA_1">Предложение!$48:$49</definedName>
    <definedName name="OFFER_TARIFF_C_HOTVSNA_2">Предложение!$89:$90</definedName>
    <definedName name="OFFER_TARIFF_C_HOTVSNA_3">Предложение!$128:$129</definedName>
    <definedName name="OFFER_TARIFF_C_HOTVSNA_4">Предложение!$167:$168</definedName>
    <definedName name="OFFER_TARIFF_C_HOTVSNA_5">Предложение!$206:$207</definedName>
    <definedName name="OFFER_TARIFF_C_VOTV_1">Предложение!$54:$55</definedName>
    <definedName name="OFFER_TARIFF_C_VOTV_2">Предложение!$95:$96</definedName>
    <definedName name="OFFER_TARIFF_C_VOTV_3">Предложение!$134:$135</definedName>
    <definedName name="OFFER_TARIFF_C_VOTV_4">Предложение!$173:$174</definedName>
    <definedName name="OFFER_TARIFF_C_VOTV_5">Предложение!$212:$213</definedName>
    <definedName name="OFFER_TARIFF_D_1">Предложение!$24:$25</definedName>
    <definedName name="OFFER_TARIFF_D_2">Предложение!$65:$66</definedName>
    <definedName name="OFFER_TARIFF_D_3">Предложение!$104:$105</definedName>
    <definedName name="OFFER_TARIFF_D_4">Предложение!$143:$144</definedName>
    <definedName name="OFFER_TARIFF_D_5">Предложение!$182:$183</definedName>
    <definedName name="OFFER_TARIFF_D_COLDVSNA_1">Предложение!$40:$41</definedName>
    <definedName name="OFFER_TARIFF_D_COLDVSNA_2">Предложение!$81:$82</definedName>
    <definedName name="OFFER_TARIFF_D_COLDVSNA_3">Предложение!$120:$121</definedName>
    <definedName name="OFFER_TARIFF_D_COLDVSNA_4">Предложение!$159:$160</definedName>
    <definedName name="OFFER_TARIFF_D_COLDVSNA_5">Предложение!$198:$199</definedName>
    <definedName name="OFFER_TARIFF_E_COLDVSNA_1">Предложение!$42:$43</definedName>
    <definedName name="OFFER_TARIFF_E_COLDVSNA_2">Предложение!$83:$84</definedName>
    <definedName name="OFFER_TARIFF_E_COLDVSNA_3">Предложение!$122:$123</definedName>
    <definedName name="OFFER_TARIFF_E_COLDVSNA_4">Предложение!$161:$162</definedName>
    <definedName name="OFFER_TARIFF_E_COLDVSNA_5">Предложение!$200:$201</definedName>
    <definedName name="OFFER_TARIFF_E1_1">Предложение!$26:$27</definedName>
    <definedName name="OFFER_TARIFF_E1_2">Предложение!$67:$68</definedName>
    <definedName name="OFFER_TARIFF_E1_3">Предложение!$106:$107</definedName>
    <definedName name="OFFER_TARIFF_E1_4">Предложение!$145:$146</definedName>
    <definedName name="OFFER_TARIFF_E1_5">Предложение!$184:$185</definedName>
    <definedName name="OFFER_TARIFF_E2_1">Предложение!$28:$29</definedName>
    <definedName name="OFFER_TARIFF_E2_2">Предложение!$69:$70</definedName>
    <definedName name="OFFER_TARIFF_E2_3">Предложение!$108:$109</definedName>
    <definedName name="OFFER_TARIFF_E2_4">Предложение!$147:$148</definedName>
    <definedName name="OFFER_TARIFF_E2_5">Предложение!$186:$187</definedName>
    <definedName name="OFFER_TARIFF_F_1">Предложение!$30:$31</definedName>
    <definedName name="OFFER_TARIFF_F_2">Предложение!$71:$72</definedName>
    <definedName name="OFFER_TARIFF_F_3">Предложение!$110:$111</definedName>
    <definedName name="OFFER_TARIFF_F_4">Предложение!$149:$150</definedName>
    <definedName name="OFFER_TARIFF_F_5">Предложение!$188:$189</definedName>
    <definedName name="OFFER_TARIFF_G_1">Предложение!$32:$33</definedName>
    <definedName name="OFFER_TARIFF_G_2">Предложение!$73:$74</definedName>
    <definedName name="OFFER_TARIFF_G_3">Предложение!$112:$113</definedName>
    <definedName name="OFFER_TARIFF_G_4">Предложение!$151:$152</definedName>
    <definedName name="OFFER_TARIFF_G_5">Предложение!$190:$191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HOTVSNA">'ГВС. Т-гор.вода'!$T$53</definedName>
    <definedName name="pIns_PT_VTAR_A_VOTV">'ВО. Т-во'!$T$53</definedName>
    <definedName name="pIns_PT_VTAR_B">'ТС. Т-ТЭ | ТСО'!$T$57</definedName>
    <definedName name="pIns_PT_VTAR_B_COLDVSNA">'ХВС. Т-тех'!$T$53</definedName>
    <definedName name="pIns_PT_VTAR_B_HOTVSNA">'ГВС. Т-транс'!$T$53</definedName>
    <definedName name="pIns_PT_VTAR_B_VOTV">'ВО. Т-транс'!$T$53</definedName>
    <definedName name="pIns_PT_VTAR_C">'ТС. Т-ТН'!$T$57</definedName>
    <definedName name="pIns_PT_VTAR_C_COLDVSNA">'ХВС. Т-транс'!$T$53</definedName>
    <definedName name="pIns_PT_VTAR_C_HOTVSNA">'ГВС. Т-подкл'!$T$63</definedName>
    <definedName name="pIns_PT_VTAR_C_VOTV">'ВО. Т-подкл'!$T$63</definedName>
    <definedName name="pIns_PT_VTAR_D">'ТС. Т-гор.вода'!$V$65</definedName>
    <definedName name="pIns_PT_VTAR_D_COLDVSNA">'ХВС. Т-подвоз'!$T$53</definedName>
    <definedName name="pIns_PT_VTAR_E_COLDVSNA">'ХВС. Т-подкл'!$T$63</definedName>
    <definedName name="pIns_PT_VTAR_E1">'ТС. Т-передача ТЭ'!$T$57</definedName>
    <definedName name="pIns_PT_VTAR_E2">'ТС. Т-передача ТН'!$T$57</definedName>
    <definedName name="pIns_PT_VTAR_F">'ТС. Резерв мощности'!$T$57</definedName>
    <definedName name="pIns_PT_VTAR_G">'ТС. Т-подкл'!$T$62</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EESTR_IP_RANGE">REESTR_IP!$A$2:$D$6</definedName>
    <definedName name="REESTR_LINK_RANGE">REESTR_LINK!$A$2:$C$3</definedName>
    <definedName name="REESTR_VT_RANGE">REESTR_VT!$A$2:$B$11</definedName>
    <definedName name="REGION">TEHSHEET!$A$2:$A$87</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Титульный!$F$27</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Титульный!$F$26</definedName>
    <definedName name="TITLE_NAME_ROIV">Титульный!#REF!</definedName>
    <definedName name="TITLE_NUMBER_PR">Титульный!$F$22</definedName>
    <definedName name="TITLE_NUMBER_PR_CHANGE">Титульный!$F$28</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fileRecoveryPr repairLoad="1"/>
</workbook>
</file>

<file path=xl/calcChain.xml><?xml version="1.0" encoding="utf-8"?>
<calcChain xmlns="http://schemas.openxmlformats.org/spreadsheetml/2006/main">
  <c r="S11" i="66" l="1" a="1"/>
  <c r="S11" i="66" s="1"/>
  <c r="G11" i="66"/>
  <c r="S2" i="66" a="1"/>
  <c r="S2" i="66"/>
  <c r="G2" i="66"/>
  <c r="R10" i="65"/>
  <c r="P10" i="65" a="1"/>
  <c r="P10" i="65" s="1"/>
  <c r="K8" i="65"/>
  <c r="R2" i="65"/>
  <c r="P2" i="65" a="1"/>
  <c r="P2" i="65"/>
  <c r="P9" i="64"/>
  <c r="N9" i="64" a="1"/>
  <c r="N9" i="64" s="1"/>
  <c r="P2" i="64"/>
  <c r="N2" i="64" a="1"/>
  <c r="N2" i="64" s="1"/>
  <c r="F12" i="63"/>
  <c r="F10" i="65" s="1"/>
  <c r="D6" i="63"/>
  <c r="BF63" i="54"/>
  <c r="BF62" i="54"/>
  <c r="BF61" i="54"/>
  <c r="BF60" i="54"/>
  <c r="BF59" i="54"/>
  <c r="BF58" i="54"/>
  <c r="BF57" i="54"/>
  <c r="BF56" i="54"/>
  <c r="BB56" i="54"/>
  <c r="AW56" i="54"/>
  <c r="AU56" i="54"/>
  <c r="Y56" i="54"/>
  <c r="W56" i="54"/>
  <c r="BF52" i="54"/>
  <c r="BF51" i="54"/>
  <c r="J51" i="54"/>
  <c r="BF50" i="54"/>
  <c r="I50" i="54"/>
  <c r="BF49" i="54"/>
  <c r="BF48" i="54"/>
  <c r="BF47" i="54"/>
  <c r="BF46" i="54"/>
  <c r="BC46" i="54"/>
  <c r="AW45" i="54"/>
  <c r="AX45" i="54" s="1"/>
  <c r="AY45" i="54" s="1"/>
  <c r="BA45" i="54" s="1"/>
  <c r="BB45" i="54" s="1"/>
  <c r="BC45" i="54" s="1"/>
  <c r="AC45" i="54"/>
  <c r="AD45" i="54" s="1"/>
  <c r="U45" i="54"/>
  <c r="V45" i="54" s="1"/>
  <c r="W45" i="54" s="1"/>
  <c r="X45" i="54" s="1"/>
  <c r="Y45" i="54" s="1"/>
  <c r="Z45" i="54" s="1"/>
  <c r="AA45" i="54" s="1"/>
  <c r="AD37" i="54"/>
  <c r="AD36" i="54"/>
  <c r="AD34" i="54"/>
  <c r="AD33" i="54"/>
  <c r="AD32" i="54"/>
  <c r="AD31" i="54"/>
  <c r="S29" i="54"/>
  <c r="S28" i="54"/>
  <c r="BF18" i="54"/>
  <c r="BF17" i="54"/>
  <c r="BF16" i="54"/>
  <c r="BF15" i="54"/>
  <c r="BF14" i="54"/>
  <c r="BF13" i="54"/>
  <c r="BF12" i="54"/>
  <c r="BB12" i="54"/>
  <c r="AW12" i="54"/>
  <c r="AU12" i="54"/>
  <c r="Y12" i="54"/>
  <c r="W12" i="54"/>
  <c r="BF8" i="54"/>
  <c r="BF7" i="54"/>
  <c r="J7" i="54"/>
  <c r="BF6" i="54"/>
  <c r="I6" i="54"/>
  <c r="BF5" i="54"/>
  <c r="BF4" i="54"/>
  <c r="AD4" i="54"/>
  <c r="S4" i="54"/>
  <c r="K8" i="54" s="1"/>
  <c r="S8" i="54" s="1"/>
  <c r="BF3" i="54"/>
  <c r="AD3" i="54"/>
  <c r="S3" i="54"/>
  <c r="BF2" i="54"/>
  <c r="BC2" i="54"/>
  <c r="AD2" i="54"/>
  <c r="S2" i="54"/>
  <c r="AN53" i="53"/>
  <c r="AN52" i="53"/>
  <c r="AN51" i="53"/>
  <c r="AN50" i="53"/>
  <c r="AN49" i="53"/>
  <c r="AN48" i="53"/>
  <c r="AN47" i="53"/>
  <c r="AE47" i="53"/>
  <c r="X47" i="53"/>
  <c r="AN46" i="53"/>
  <c r="AK46" i="53"/>
  <c r="AN45" i="53"/>
  <c r="AN44" i="53"/>
  <c r="AN43" i="53"/>
  <c r="AN42" i="53"/>
  <c r="AN41" i="53"/>
  <c r="AK41" i="53"/>
  <c r="V40" i="53"/>
  <c r="W40" i="53" s="1"/>
  <c r="X40" i="53" s="1"/>
  <c r="Y40" i="53" s="1"/>
  <c r="Z40" i="53" s="1"/>
  <c r="AB40" i="53" s="1"/>
  <c r="AC40" i="53" s="1"/>
  <c r="AD40" i="53" s="1"/>
  <c r="AE40" i="53" s="1"/>
  <c r="AF40" i="53" s="1"/>
  <c r="AG40" i="53" s="1"/>
  <c r="AI40" i="53" s="1"/>
  <c r="AJ40" i="53" s="1"/>
  <c r="AK40" i="53" s="1"/>
  <c r="U40" i="53"/>
  <c r="AC33" i="53"/>
  <c r="V33" i="53"/>
  <c r="AC32" i="53"/>
  <c r="V32" i="53"/>
  <c r="AC30" i="53"/>
  <c r="V30" i="53"/>
  <c r="AC29" i="53"/>
  <c r="V29" i="53"/>
  <c r="AC28" i="53"/>
  <c r="V28" i="53"/>
  <c r="AC27" i="53"/>
  <c r="V27" i="53"/>
  <c r="S25" i="53"/>
  <c r="S24" i="53"/>
  <c r="AE16" i="53"/>
  <c r="AN13" i="53"/>
  <c r="AN12" i="53"/>
  <c r="AN11" i="53"/>
  <c r="AN10" i="53"/>
  <c r="AN9" i="53"/>
  <c r="AN8" i="53"/>
  <c r="AE8" i="53"/>
  <c r="X8" i="53"/>
  <c r="AN7" i="53"/>
  <c r="AK7" i="53"/>
  <c r="AN6" i="53"/>
  <c r="AN5" i="53"/>
  <c r="I5" i="53"/>
  <c r="AN4" i="53"/>
  <c r="AC4" i="53"/>
  <c r="S4" i="53"/>
  <c r="AN3" i="53"/>
  <c r="AC3" i="53"/>
  <c r="S3" i="53"/>
  <c r="AN2" i="53"/>
  <c r="AK2" i="53"/>
  <c r="AC2" i="53"/>
  <c r="S2" i="53"/>
  <c r="AN53" i="52"/>
  <c r="AN52" i="52"/>
  <c r="AN51" i="52"/>
  <c r="AN50" i="52"/>
  <c r="AN49" i="52"/>
  <c r="AN48" i="52"/>
  <c r="AN47" i="52"/>
  <c r="AE47" i="52"/>
  <c r="X47" i="52"/>
  <c r="AN46" i="52"/>
  <c r="AK46" i="52"/>
  <c r="AN45" i="52"/>
  <c r="AN44" i="52"/>
  <c r="AN43" i="52"/>
  <c r="AN42" i="52"/>
  <c r="AN41" i="52"/>
  <c r="AK41" i="52"/>
  <c r="U40" i="52"/>
  <c r="V40" i="52" s="1"/>
  <c r="W40" i="52" s="1"/>
  <c r="X40" i="52" s="1"/>
  <c r="Y40" i="52" s="1"/>
  <c r="Z40" i="52" s="1"/>
  <c r="AB40" i="52" s="1"/>
  <c r="AC40" i="52" s="1"/>
  <c r="AD40" i="52" s="1"/>
  <c r="AE40" i="52" s="1"/>
  <c r="AF40" i="52" s="1"/>
  <c r="AG40" i="52" s="1"/>
  <c r="AI40" i="52" s="1"/>
  <c r="AJ40" i="52" s="1"/>
  <c r="AK40" i="52" s="1"/>
  <c r="AC33" i="52"/>
  <c r="V33" i="52"/>
  <c r="AC32" i="52"/>
  <c r="V32" i="52"/>
  <c r="AC30" i="52"/>
  <c r="V30" i="52"/>
  <c r="AC29" i="52"/>
  <c r="V29" i="52"/>
  <c r="AC28" i="52"/>
  <c r="V28" i="52"/>
  <c r="AC27" i="52"/>
  <c r="V27" i="52"/>
  <c r="S25" i="52"/>
  <c r="S24" i="52"/>
  <c r="AE16" i="52"/>
  <c r="AN13" i="52"/>
  <c r="AN12" i="52"/>
  <c r="AN11" i="52"/>
  <c r="AN10" i="52"/>
  <c r="AN9" i="52"/>
  <c r="AN8" i="52"/>
  <c r="AE8" i="52"/>
  <c r="X8" i="52"/>
  <c r="AN7" i="52"/>
  <c r="AK7" i="52"/>
  <c r="AN6" i="52"/>
  <c r="AN5" i="52"/>
  <c r="S5" i="52"/>
  <c r="AN4" i="52"/>
  <c r="AC4" i="52"/>
  <c r="S4" i="52"/>
  <c r="I5" i="52" s="1"/>
  <c r="J6" i="52" s="1"/>
  <c r="AN3" i="52"/>
  <c r="AC3" i="52"/>
  <c r="S3" i="52"/>
  <c r="AN2" i="52"/>
  <c r="AK2" i="52"/>
  <c r="AC2" i="52"/>
  <c r="S2" i="52"/>
  <c r="BF63" i="51"/>
  <c r="BF62" i="51"/>
  <c r="BF61" i="51"/>
  <c r="BF60" i="51"/>
  <c r="BF59" i="51"/>
  <c r="BF58" i="51"/>
  <c r="BF57" i="51"/>
  <c r="BF56" i="51"/>
  <c r="BB56" i="51"/>
  <c r="AW56" i="51"/>
  <c r="AU56" i="51"/>
  <c r="Y56" i="51"/>
  <c r="W56" i="51"/>
  <c r="BF52" i="51"/>
  <c r="BF51" i="51"/>
  <c r="J51" i="51"/>
  <c r="BF50" i="51"/>
  <c r="I50" i="51"/>
  <c r="BF49" i="51"/>
  <c r="BF48" i="51"/>
  <c r="BF47" i="51"/>
  <c r="BF46" i="51"/>
  <c r="BC46" i="51"/>
  <c r="AW45" i="51"/>
  <c r="AX45" i="51" s="1"/>
  <c r="AY45" i="51" s="1"/>
  <c r="BA45" i="51" s="1"/>
  <c r="BB45" i="51" s="1"/>
  <c r="BC45" i="51" s="1"/>
  <c r="U45" i="51"/>
  <c r="V45" i="51" s="1"/>
  <c r="W45" i="51" s="1"/>
  <c r="X45" i="51" s="1"/>
  <c r="Y45" i="51" s="1"/>
  <c r="Z45" i="51" s="1"/>
  <c r="AA45" i="51" s="1"/>
  <c r="AC45" i="51" s="1"/>
  <c r="AD45" i="51" s="1"/>
  <c r="AD37" i="51"/>
  <c r="AD36" i="51"/>
  <c r="AD34" i="51"/>
  <c r="AD33" i="51"/>
  <c r="AD32" i="51"/>
  <c r="AD31" i="51"/>
  <c r="S29" i="51"/>
  <c r="S28" i="51"/>
  <c r="BF18" i="51"/>
  <c r="BF17" i="51"/>
  <c r="BF16" i="51"/>
  <c r="BF15" i="51"/>
  <c r="BF14" i="51"/>
  <c r="BF13" i="51"/>
  <c r="BF12" i="51"/>
  <c r="BB12" i="51"/>
  <c r="AW12" i="51"/>
  <c r="AU12" i="51"/>
  <c r="Y12" i="51"/>
  <c r="W12" i="51"/>
  <c r="BF8" i="51"/>
  <c r="BF7" i="51"/>
  <c r="J7" i="51"/>
  <c r="BF6" i="51"/>
  <c r="I6" i="51"/>
  <c r="BF5" i="51"/>
  <c r="BF4" i="51"/>
  <c r="AD4" i="51"/>
  <c r="S4" i="51"/>
  <c r="K8" i="51" s="1"/>
  <c r="S8" i="51" s="1"/>
  <c r="BF3" i="51"/>
  <c r="AD3" i="51"/>
  <c r="S3" i="51"/>
  <c r="BF2" i="51"/>
  <c r="BC2" i="51"/>
  <c r="AD2" i="51"/>
  <c r="S2" i="51"/>
  <c r="AN53" i="50"/>
  <c r="AN52" i="50"/>
  <c r="AN51" i="50"/>
  <c r="AN50" i="50"/>
  <c r="AN49" i="50"/>
  <c r="AN48" i="50"/>
  <c r="AN47" i="50"/>
  <c r="AE47" i="50"/>
  <c r="X47" i="50"/>
  <c r="AN46" i="50"/>
  <c r="AK46" i="50"/>
  <c r="AN45" i="50"/>
  <c r="AN44" i="50"/>
  <c r="AN43" i="50"/>
  <c r="AN42" i="50"/>
  <c r="AN41" i="50"/>
  <c r="AK41" i="50"/>
  <c r="U40" i="50"/>
  <c r="V40" i="50" s="1"/>
  <c r="W40" i="50" s="1"/>
  <c r="X40" i="50" s="1"/>
  <c r="Y40" i="50" s="1"/>
  <c r="Z40" i="50" s="1"/>
  <c r="AB40" i="50" s="1"/>
  <c r="AC40" i="50" s="1"/>
  <c r="AD40" i="50" s="1"/>
  <c r="AE40" i="50" s="1"/>
  <c r="AF40" i="50" s="1"/>
  <c r="AG40" i="50" s="1"/>
  <c r="AI40" i="50" s="1"/>
  <c r="AJ40" i="50" s="1"/>
  <c r="AK40" i="50" s="1"/>
  <c r="AC33" i="50"/>
  <c r="V33" i="50"/>
  <c r="AC32" i="50"/>
  <c r="V32" i="50"/>
  <c r="AC30" i="50"/>
  <c r="V30" i="50"/>
  <c r="AC29" i="50"/>
  <c r="V29" i="50"/>
  <c r="AC28" i="50"/>
  <c r="V28" i="50"/>
  <c r="AC27" i="50"/>
  <c r="V27" i="50"/>
  <c r="S25" i="50"/>
  <c r="S24" i="50"/>
  <c r="AE16" i="50"/>
  <c r="AN13" i="50"/>
  <c r="AN12" i="50"/>
  <c r="AN11" i="50"/>
  <c r="AN10" i="50"/>
  <c r="AN9" i="50"/>
  <c r="AN8" i="50"/>
  <c r="AE8" i="50"/>
  <c r="X8" i="50"/>
  <c r="AN7" i="50"/>
  <c r="AK7" i="50"/>
  <c r="K7" i="50"/>
  <c r="S7" i="50" s="1"/>
  <c r="AN6" i="50"/>
  <c r="AN5" i="50"/>
  <c r="AN4" i="50"/>
  <c r="AC4" i="50"/>
  <c r="S4" i="50"/>
  <c r="I5" i="50" s="1"/>
  <c r="J6" i="50" s="1"/>
  <c r="S6" i="50" s="1"/>
  <c r="AN3" i="50"/>
  <c r="AC3" i="50"/>
  <c r="S3" i="50"/>
  <c r="AN2" i="50"/>
  <c r="AK2" i="50"/>
  <c r="AC2" i="50"/>
  <c r="S2" i="50"/>
  <c r="AN53" i="49"/>
  <c r="AN52" i="49"/>
  <c r="AN51" i="49"/>
  <c r="AN50" i="49"/>
  <c r="AN49" i="49"/>
  <c r="AN48" i="49"/>
  <c r="AN47" i="49"/>
  <c r="AE47" i="49"/>
  <c r="X47" i="49"/>
  <c r="AN46" i="49"/>
  <c r="AK46" i="49"/>
  <c r="AN45" i="49"/>
  <c r="AN44" i="49"/>
  <c r="AN43" i="49"/>
  <c r="AN42" i="49"/>
  <c r="AN41" i="49"/>
  <c r="AK41" i="49"/>
  <c r="U40" i="49"/>
  <c r="V40" i="49" s="1"/>
  <c r="W40" i="49" s="1"/>
  <c r="X40" i="49" s="1"/>
  <c r="Y40" i="49" s="1"/>
  <c r="Z40" i="49" s="1"/>
  <c r="AB40" i="49" s="1"/>
  <c r="AC40" i="49" s="1"/>
  <c r="AD40" i="49" s="1"/>
  <c r="AE40" i="49" s="1"/>
  <c r="AF40" i="49" s="1"/>
  <c r="AG40" i="49" s="1"/>
  <c r="AI40" i="49" s="1"/>
  <c r="AJ40" i="49" s="1"/>
  <c r="AK40" i="49" s="1"/>
  <c r="AC33" i="49"/>
  <c r="V33" i="49"/>
  <c r="AC32" i="49"/>
  <c r="V32" i="49"/>
  <c r="AC30" i="49"/>
  <c r="V30" i="49"/>
  <c r="AC29" i="49"/>
  <c r="V29" i="49"/>
  <c r="AC28" i="49"/>
  <c r="V28" i="49"/>
  <c r="AC27" i="49"/>
  <c r="V27" i="49"/>
  <c r="S25" i="49"/>
  <c r="S24" i="49"/>
  <c r="AE16" i="49"/>
  <c r="AN13" i="49"/>
  <c r="AN12" i="49"/>
  <c r="AN11" i="49"/>
  <c r="AN10" i="49"/>
  <c r="AN9" i="49"/>
  <c r="AN8" i="49"/>
  <c r="AE8" i="49"/>
  <c r="X8" i="49"/>
  <c r="AN7" i="49"/>
  <c r="AK7" i="49"/>
  <c r="AN6" i="49"/>
  <c r="J6" i="49"/>
  <c r="S6" i="49" s="1"/>
  <c r="AN5" i="49"/>
  <c r="I5" i="49"/>
  <c r="S5" i="49" s="1"/>
  <c r="AN4" i="49"/>
  <c r="AC4" i="49"/>
  <c r="S4" i="49"/>
  <c r="AN3" i="49"/>
  <c r="AC3" i="49"/>
  <c r="S3" i="49"/>
  <c r="AN2" i="49"/>
  <c r="AK2" i="49"/>
  <c r="AC2" i="49"/>
  <c r="S2" i="49"/>
  <c r="F6" i="48"/>
  <c r="H57" i="47"/>
  <c r="H56" i="47"/>
  <c r="H55" i="47"/>
  <c r="I54" i="47"/>
  <c r="H53" i="47"/>
  <c r="H52" i="47"/>
  <c r="H51" i="47"/>
  <c r="H50" i="47"/>
  <c r="I49" i="47"/>
  <c r="H49" i="47"/>
  <c r="H47" i="47"/>
  <c r="H46" i="47"/>
  <c r="H45" i="47"/>
  <c r="I44" i="47"/>
  <c r="H44" i="47"/>
  <c r="H43" i="47"/>
  <c r="H42" i="47"/>
  <c r="H41" i="47"/>
  <c r="H40" i="47"/>
  <c r="I39" i="47"/>
  <c r="I38" i="47" s="1"/>
  <c r="H38" i="47" s="1"/>
  <c r="H35" i="47"/>
  <c r="H34" i="47"/>
  <c r="H33" i="47"/>
  <c r="I32" i="47"/>
  <c r="H32" i="47" s="1"/>
  <c r="H31" i="47"/>
  <c r="H30" i="47"/>
  <c r="H29" i="47"/>
  <c r="I28" i="47"/>
  <c r="H28" i="47"/>
  <c r="H27" i="47"/>
  <c r="H26" i="47"/>
  <c r="H25" i="47"/>
  <c r="H24" i="47"/>
  <c r="H23" i="47"/>
  <c r="H22" i="47"/>
  <c r="H21" i="47"/>
  <c r="H20" i="47"/>
  <c r="H19" i="47"/>
  <c r="H18" i="47"/>
  <c r="H17" i="47"/>
  <c r="H16" i="47"/>
  <c r="I15" i="47"/>
  <c r="H11" i="47"/>
  <c r="F6" i="47"/>
  <c r="F6" i="46"/>
  <c r="H15" i="45"/>
  <c r="F6" i="45"/>
  <c r="J12" i="44"/>
  <c r="I12" i="44"/>
  <c r="H12" i="44"/>
  <c r="G12" i="44"/>
  <c r="G9" i="44"/>
  <c r="G8" i="44"/>
  <c r="G7" i="44"/>
  <c r="D4" i="44"/>
  <c r="E28" i="43"/>
  <c r="I27" i="43"/>
  <c r="I16" i="43" s="1"/>
  <c r="H27" i="43"/>
  <c r="H16" i="43" s="1"/>
  <c r="H12" i="43"/>
  <c r="H11" i="43"/>
  <c r="H10" i="43"/>
  <c r="E7" i="43"/>
  <c r="E33" i="42"/>
  <c r="I32" i="42"/>
  <c r="I16" i="42" s="1"/>
  <c r="H32" i="42"/>
  <c r="H16" i="42" s="1"/>
  <c r="H12" i="42"/>
  <c r="H11" i="42"/>
  <c r="H10" i="42"/>
  <c r="E7" i="42"/>
  <c r="V20" i="41"/>
  <c r="Q20" i="41"/>
  <c r="V17" i="41"/>
  <c r="Q17" i="41"/>
  <c r="E6" i="41"/>
  <c r="F106" i="40"/>
  <c r="I87" i="40"/>
  <c r="H87" i="40"/>
  <c r="J82" i="40"/>
  <c r="I69" i="40"/>
  <c r="H69" i="40"/>
  <c r="J66" i="40"/>
  <c r="L66" i="40" s="1"/>
  <c r="K40" i="40"/>
  <c r="K39" i="40"/>
  <c r="K38" i="40"/>
  <c r="K37" i="40"/>
  <c r="K36" i="40"/>
  <c r="K35" i="40"/>
  <c r="K34" i="40"/>
  <c r="I33" i="40"/>
  <c r="H33" i="40"/>
  <c r="H27" i="40"/>
  <c r="H26" i="40"/>
  <c r="H25" i="40"/>
  <c r="E22" i="40"/>
  <c r="E7" i="40"/>
  <c r="E6" i="40"/>
  <c r="E5" i="40"/>
  <c r="E4" i="40"/>
  <c r="I3" i="40"/>
  <c r="H3" i="40"/>
  <c r="E2" i="40"/>
  <c r="BF63" i="39"/>
  <c r="BF62" i="39"/>
  <c r="BF61" i="39"/>
  <c r="BF60" i="39"/>
  <c r="BF59" i="39"/>
  <c r="BF58" i="39"/>
  <c r="BF57" i="39"/>
  <c r="BF56" i="39"/>
  <c r="BB56" i="39"/>
  <c r="AW56" i="39"/>
  <c r="AU56" i="39"/>
  <c r="Y56" i="39"/>
  <c r="W56" i="39"/>
  <c r="BF52" i="39"/>
  <c r="BF51" i="39"/>
  <c r="J51" i="39"/>
  <c r="BF50" i="39"/>
  <c r="I50" i="39"/>
  <c r="BF49" i="39"/>
  <c r="BF48" i="39"/>
  <c r="BF47" i="39"/>
  <c r="BF46" i="39"/>
  <c r="BC46" i="39"/>
  <c r="AW45" i="39"/>
  <c r="AX45" i="39" s="1"/>
  <c r="AY45" i="39" s="1"/>
  <c r="BA45" i="39" s="1"/>
  <c r="BB45" i="39" s="1"/>
  <c r="BC45" i="39" s="1"/>
  <c r="V45" i="39"/>
  <c r="W45" i="39" s="1"/>
  <c r="X45" i="39" s="1"/>
  <c r="Y45" i="39" s="1"/>
  <c r="Z45" i="39" s="1"/>
  <c r="AA45" i="39" s="1"/>
  <c r="AC45" i="39" s="1"/>
  <c r="AD45" i="39" s="1"/>
  <c r="U45" i="39"/>
  <c r="AD37" i="39"/>
  <c r="AD36" i="39"/>
  <c r="AD34" i="39"/>
  <c r="AD33" i="39"/>
  <c r="AD32" i="39"/>
  <c r="AD31" i="39"/>
  <c r="S29" i="39"/>
  <c r="S28" i="39"/>
  <c r="BF18" i="39"/>
  <c r="BF17" i="39"/>
  <c r="BF16" i="39"/>
  <c r="BF15" i="39"/>
  <c r="BF14" i="39"/>
  <c r="BF13" i="39"/>
  <c r="BF12" i="39"/>
  <c r="BB12" i="39"/>
  <c r="AW12" i="39"/>
  <c r="AU12" i="39"/>
  <c r="Y12" i="39"/>
  <c r="W12" i="39"/>
  <c r="BF8" i="39"/>
  <c r="BF7" i="39"/>
  <c r="J7" i="39"/>
  <c r="BF6" i="39"/>
  <c r="I6" i="39"/>
  <c r="BF5" i="39"/>
  <c r="BF4" i="39"/>
  <c r="AD4" i="39"/>
  <c r="S4" i="39"/>
  <c r="K8" i="39" s="1"/>
  <c r="S8" i="39" s="1"/>
  <c r="BF3" i="39"/>
  <c r="AD3" i="39"/>
  <c r="S3" i="39"/>
  <c r="BF2" i="39"/>
  <c r="BC2" i="39"/>
  <c r="AD2" i="39"/>
  <c r="S2" i="39"/>
  <c r="AN53" i="38"/>
  <c r="AN52" i="38"/>
  <c r="AN51" i="38"/>
  <c r="AN50" i="38"/>
  <c r="AN49" i="38"/>
  <c r="AN48" i="38"/>
  <c r="AN47" i="38"/>
  <c r="AE47" i="38"/>
  <c r="X47" i="38"/>
  <c r="AN46" i="38"/>
  <c r="AK46" i="38"/>
  <c r="AN45" i="38"/>
  <c r="AN44" i="38"/>
  <c r="AN43" i="38"/>
  <c r="AN42" i="38"/>
  <c r="AN41" i="38"/>
  <c r="AK41" i="38"/>
  <c r="U40" i="38"/>
  <c r="V40" i="38" s="1"/>
  <c r="W40" i="38" s="1"/>
  <c r="X40" i="38" s="1"/>
  <c r="Y40" i="38" s="1"/>
  <c r="Z40" i="38" s="1"/>
  <c r="AB40" i="38" s="1"/>
  <c r="AC40" i="38" s="1"/>
  <c r="AD40" i="38" s="1"/>
  <c r="AE40" i="38" s="1"/>
  <c r="AF40" i="38" s="1"/>
  <c r="AG40" i="38" s="1"/>
  <c r="AI40" i="38" s="1"/>
  <c r="AJ40" i="38" s="1"/>
  <c r="AK40" i="38" s="1"/>
  <c r="AC33" i="38"/>
  <c r="V33" i="38"/>
  <c r="AC32" i="38"/>
  <c r="V32" i="38"/>
  <c r="AC30" i="38"/>
  <c r="V30" i="38"/>
  <c r="AC29" i="38"/>
  <c r="V29" i="38"/>
  <c r="AC28" i="38"/>
  <c r="V28" i="38"/>
  <c r="AC27" i="38"/>
  <c r="V27" i="38"/>
  <c r="S25" i="38"/>
  <c r="S24" i="38"/>
  <c r="AE16" i="38"/>
  <c r="AN13" i="38"/>
  <c r="AN12" i="38"/>
  <c r="AN11" i="38"/>
  <c r="AN10" i="38"/>
  <c r="AN9" i="38"/>
  <c r="AN8" i="38"/>
  <c r="AE8" i="38"/>
  <c r="X8" i="38"/>
  <c r="AN7" i="38"/>
  <c r="AK7" i="38"/>
  <c r="AN6" i="38"/>
  <c r="AN5" i="38"/>
  <c r="I5" i="38"/>
  <c r="S5" i="38" s="1"/>
  <c r="AN4" i="38"/>
  <c r="AC4" i="38"/>
  <c r="S4" i="38"/>
  <c r="AN3" i="38"/>
  <c r="AC3" i="38"/>
  <c r="S3" i="38"/>
  <c r="AN2" i="38"/>
  <c r="AK2" i="38"/>
  <c r="AC2" i="38"/>
  <c r="S2" i="38"/>
  <c r="AN53" i="37"/>
  <c r="AN52" i="37"/>
  <c r="AN51" i="37"/>
  <c r="AN50" i="37"/>
  <c r="AN49" i="37"/>
  <c r="AN48" i="37"/>
  <c r="AN47" i="37"/>
  <c r="AE47" i="37"/>
  <c r="X47" i="37"/>
  <c r="AN46" i="37"/>
  <c r="AK46" i="37"/>
  <c r="AN45" i="37"/>
  <c r="AN44" i="37"/>
  <c r="AN43" i="37"/>
  <c r="AN42" i="37"/>
  <c r="AN41" i="37"/>
  <c r="AK41" i="37"/>
  <c r="U40" i="37"/>
  <c r="V40" i="37" s="1"/>
  <c r="W40" i="37" s="1"/>
  <c r="X40" i="37" s="1"/>
  <c r="Y40" i="37" s="1"/>
  <c r="Z40" i="37" s="1"/>
  <c r="AB40" i="37" s="1"/>
  <c r="AC40" i="37" s="1"/>
  <c r="AD40" i="37" s="1"/>
  <c r="AE40" i="37" s="1"/>
  <c r="AF40" i="37" s="1"/>
  <c r="AG40" i="37" s="1"/>
  <c r="AI40" i="37" s="1"/>
  <c r="AJ40" i="37" s="1"/>
  <c r="AK40" i="37" s="1"/>
  <c r="AC33" i="37"/>
  <c r="V33" i="37"/>
  <c r="AC32" i="37"/>
  <c r="V32" i="37"/>
  <c r="AC30" i="37"/>
  <c r="V30" i="37"/>
  <c r="AC29" i="37"/>
  <c r="V29" i="37"/>
  <c r="AC28" i="37"/>
  <c r="V28" i="37"/>
  <c r="AC27" i="37"/>
  <c r="V27" i="37"/>
  <c r="S25" i="37"/>
  <c r="S24" i="37"/>
  <c r="AE16" i="37"/>
  <c r="AN13" i="37"/>
  <c r="AN12" i="37"/>
  <c r="AN11" i="37"/>
  <c r="AN10" i="37"/>
  <c r="AN9" i="37"/>
  <c r="AN8" i="37"/>
  <c r="AE8" i="37"/>
  <c r="X8" i="37"/>
  <c r="AN7" i="37"/>
  <c r="AK7" i="37"/>
  <c r="AN6" i="37"/>
  <c r="J6" i="37"/>
  <c r="AN5" i="37"/>
  <c r="AN4" i="37"/>
  <c r="AC4" i="37"/>
  <c r="S4" i="37"/>
  <c r="I5" i="37" s="1"/>
  <c r="S5" i="37" s="1"/>
  <c r="AN3" i="37"/>
  <c r="AC3" i="37"/>
  <c r="S3" i="37"/>
  <c r="AN2" i="37"/>
  <c r="AK2" i="37"/>
  <c r="AC2" i="37"/>
  <c r="S2" i="37"/>
  <c r="AN53" i="36"/>
  <c r="AN52" i="36"/>
  <c r="AN51" i="36"/>
  <c r="AN50" i="36"/>
  <c r="AN49" i="36"/>
  <c r="AN48" i="36"/>
  <c r="AN47" i="36"/>
  <c r="AE47" i="36"/>
  <c r="X47" i="36"/>
  <c r="AN46" i="36"/>
  <c r="AK46" i="36"/>
  <c r="AN45" i="36"/>
  <c r="AN44" i="36"/>
  <c r="AN43" i="36"/>
  <c r="AN42" i="36"/>
  <c r="AN41" i="36"/>
  <c r="AK41" i="36"/>
  <c r="U40" i="36"/>
  <c r="V40" i="36" s="1"/>
  <c r="W40" i="36" s="1"/>
  <c r="X40" i="36" s="1"/>
  <c r="Y40" i="36" s="1"/>
  <c r="Z40" i="36" s="1"/>
  <c r="AB40" i="36" s="1"/>
  <c r="AC40" i="36" s="1"/>
  <c r="AD40" i="36" s="1"/>
  <c r="AE40" i="36" s="1"/>
  <c r="AF40" i="36" s="1"/>
  <c r="AG40" i="36" s="1"/>
  <c r="AI40" i="36" s="1"/>
  <c r="AJ40" i="36" s="1"/>
  <c r="AK40" i="36" s="1"/>
  <c r="AC33" i="36"/>
  <c r="V33" i="36"/>
  <c r="AC32" i="36"/>
  <c r="V32" i="36"/>
  <c r="AC30" i="36"/>
  <c r="V30" i="36"/>
  <c r="AC29" i="36"/>
  <c r="V29" i="36"/>
  <c r="AC28" i="36"/>
  <c r="V28" i="36"/>
  <c r="AC27" i="36"/>
  <c r="V27" i="36"/>
  <c r="S25" i="36"/>
  <c r="S24" i="36"/>
  <c r="AE16" i="36"/>
  <c r="AN13" i="36"/>
  <c r="AN12" i="36"/>
  <c r="AN11" i="36"/>
  <c r="AN10" i="36"/>
  <c r="AN9" i="36"/>
  <c r="AN8" i="36"/>
  <c r="AE8" i="36"/>
  <c r="X8" i="36"/>
  <c r="AN7" i="36"/>
  <c r="AK7" i="36"/>
  <c r="AN6" i="36"/>
  <c r="AN5" i="36"/>
  <c r="I5" i="36"/>
  <c r="AN4" i="36"/>
  <c r="AC4" i="36"/>
  <c r="S4" i="36"/>
  <c r="AN3" i="36"/>
  <c r="AC3" i="36"/>
  <c r="S3" i="36"/>
  <c r="AN2" i="36"/>
  <c r="AK2" i="36"/>
  <c r="AC2" i="36"/>
  <c r="S2" i="36"/>
  <c r="AN53" i="35"/>
  <c r="AN52" i="35"/>
  <c r="AN51" i="35"/>
  <c r="AN50" i="35"/>
  <c r="AN49" i="35"/>
  <c r="AN48" i="35"/>
  <c r="AN47" i="35"/>
  <c r="AE47" i="35"/>
  <c r="X47" i="35"/>
  <c r="AN46" i="35"/>
  <c r="AK46" i="35"/>
  <c r="AN45" i="35"/>
  <c r="AN44" i="35"/>
  <c r="AN43" i="35"/>
  <c r="AN42" i="35"/>
  <c r="AN41" i="35"/>
  <c r="AK41" i="35"/>
  <c r="U40" i="35"/>
  <c r="V40" i="35" s="1"/>
  <c r="W40" i="35" s="1"/>
  <c r="X40" i="35" s="1"/>
  <c r="Y40" i="35" s="1"/>
  <c r="Z40" i="35" s="1"/>
  <c r="AB40" i="35" s="1"/>
  <c r="AC40" i="35" s="1"/>
  <c r="AD40" i="35" s="1"/>
  <c r="AE40" i="35" s="1"/>
  <c r="AF40" i="35" s="1"/>
  <c r="AG40" i="35" s="1"/>
  <c r="AI40" i="35" s="1"/>
  <c r="AJ40" i="35" s="1"/>
  <c r="AK40" i="35" s="1"/>
  <c r="AC33" i="35"/>
  <c r="V33" i="35"/>
  <c r="AC32" i="35"/>
  <c r="V32" i="35"/>
  <c r="AC30" i="35"/>
  <c r="V30" i="35"/>
  <c r="AC29" i="35"/>
  <c r="V29" i="35"/>
  <c r="AC28" i="35"/>
  <c r="V28" i="35"/>
  <c r="AC27" i="35"/>
  <c r="V27" i="35"/>
  <c r="S25" i="35"/>
  <c r="S24" i="35"/>
  <c r="AE16" i="35"/>
  <c r="AN13" i="35"/>
  <c r="AN12" i="35"/>
  <c r="AN11" i="35"/>
  <c r="AN10" i="35"/>
  <c r="AN9" i="35"/>
  <c r="AN8" i="35"/>
  <c r="AE8" i="35"/>
  <c r="X8" i="35"/>
  <c r="AN7" i="35"/>
  <c r="AK7" i="35"/>
  <c r="AN6" i="35"/>
  <c r="J6" i="35"/>
  <c r="AN5" i="35"/>
  <c r="AN4" i="35"/>
  <c r="AC4" i="35"/>
  <c r="S4" i="35"/>
  <c r="I5" i="35" s="1"/>
  <c r="S5" i="35" s="1"/>
  <c r="AN3" i="35"/>
  <c r="AC3" i="35"/>
  <c r="S3" i="35"/>
  <c r="AN2" i="35"/>
  <c r="AK2" i="35"/>
  <c r="AC2" i="35"/>
  <c r="S2" i="35"/>
  <c r="E175" i="34"/>
  <c r="E136" i="34"/>
  <c r="E97" i="34"/>
  <c r="E17" i="34"/>
  <c r="F11" i="34"/>
  <c r="E11" i="34"/>
  <c r="F10" i="34"/>
  <c r="E10" i="34"/>
  <c r="G28" i="33"/>
  <c r="G27" i="33"/>
  <c r="G26" i="33"/>
  <c r="D23" i="33"/>
  <c r="D14" i="33"/>
  <c r="D13" i="33"/>
  <c r="D11" i="33"/>
  <c r="D10" i="33"/>
  <c r="D9" i="33"/>
  <c r="D7" i="33"/>
  <c r="D6" i="33"/>
  <c r="D4" i="33"/>
  <c r="D3" i="33"/>
  <c r="F21" i="32"/>
  <c r="H19" i="32"/>
  <c r="G19" i="32"/>
  <c r="F19" i="32"/>
  <c r="H14" i="32"/>
  <c r="G14" i="32"/>
  <c r="G11" i="32"/>
  <c r="G10" i="32"/>
  <c r="G9" i="32"/>
  <c r="D6" i="32"/>
  <c r="F2" i="32"/>
  <c r="I14" i="31"/>
  <c r="G14" i="31"/>
  <c r="G11" i="31"/>
  <c r="G10" i="31"/>
  <c r="G9" i="31"/>
  <c r="D6" i="31"/>
  <c r="E13" i="29"/>
  <c r="H12" i="29"/>
  <c r="E12" i="29"/>
  <c r="D6" i="29"/>
  <c r="D15" i="28"/>
  <c r="R24" i="27"/>
  <c r="O18" i="27"/>
  <c r="P18" i="27" s="1"/>
  <c r="Q18" i="27" s="1"/>
  <c r="R18" i="27" s="1"/>
  <c r="S18" i="27" s="1"/>
  <c r="T18" i="27" s="1"/>
  <c r="V18" i="27" s="1"/>
  <c r="X18" i="27" s="1"/>
  <c r="O10" i="27"/>
  <c r="O9" i="27"/>
  <c r="O8" i="27"/>
  <c r="O7" i="27"/>
  <c r="AA32" i="26"/>
  <c r="AA31" i="26"/>
  <c r="AA30" i="26"/>
  <c r="AA29" i="26"/>
  <c r="AA28" i="26"/>
  <c r="AA27" i="26"/>
  <c r="AA26" i="26"/>
  <c r="R26" i="26"/>
  <c r="AA25" i="26"/>
  <c r="AA24" i="26"/>
  <c r="AA23" i="26"/>
  <c r="AA22" i="26"/>
  <c r="O22" i="26"/>
  <c r="L22" i="26"/>
  <c r="F23" i="26" s="1"/>
  <c r="G24" i="26" s="1"/>
  <c r="AA21" i="26"/>
  <c r="O21" i="26"/>
  <c r="L21" i="26"/>
  <c r="AA20" i="26"/>
  <c r="O20" i="26"/>
  <c r="L20" i="26"/>
  <c r="AA19" i="26"/>
  <c r="O19" i="26"/>
  <c r="L19" i="26"/>
  <c r="Q18" i="26"/>
  <c r="R18" i="26" s="1"/>
  <c r="S18" i="26" s="1"/>
  <c r="T18" i="26" s="1"/>
  <c r="V18" i="26" s="1"/>
  <c r="W18" i="26" s="1"/>
  <c r="X18" i="26" s="1"/>
  <c r="N18" i="26"/>
  <c r="O18" i="26" s="1"/>
  <c r="O11" i="26"/>
  <c r="O10" i="26"/>
  <c r="O9" i="26"/>
  <c r="O8" i="26"/>
  <c r="L6" i="26"/>
  <c r="AA32" i="25"/>
  <c r="AA31" i="25"/>
  <c r="AA30" i="25"/>
  <c r="AA29" i="25"/>
  <c r="AA28" i="25"/>
  <c r="AA27" i="25"/>
  <c r="AA26" i="25"/>
  <c r="R26" i="25"/>
  <c r="AA25" i="25"/>
  <c r="AA24" i="25"/>
  <c r="AA23" i="25"/>
  <c r="AA22" i="25"/>
  <c r="O22" i="25"/>
  <c r="L22" i="25"/>
  <c r="F23" i="25" s="1"/>
  <c r="G24" i="25" s="1"/>
  <c r="AA21" i="25"/>
  <c r="O21" i="25"/>
  <c r="L21" i="25"/>
  <c r="AA20" i="25"/>
  <c r="O20" i="25"/>
  <c r="L20" i="25"/>
  <c r="AA19" i="25"/>
  <c r="O19" i="25"/>
  <c r="L19" i="25"/>
  <c r="Q18" i="25"/>
  <c r="R18" i="25" s="1"/>
  <c r="S18" i="25" s="1"/>
  <c r="T18" i="25" s="1"/>
  <c r="V18" i="25" s="1"/>
  <c r="W18" i="25" s="1"/>
  <c r="X18" i="25" s="1"/>
  <c r="N18" i="25"/>
  <c r="O18" i="25" s="1"/>
  <c r="O11" i="25"/>
  <c r="O10" i="25"/>
  <c r="O9" i="25"/>
  <c r="O8" i="25"/>
  <c r="L6" i="25"/>
  <c r="AA32" i="24"/>
  <c r="AA31" i="24"/>
  <c r="AA30" i="24"/>
  <c r="AA29" i="24"/>
  <c r="AA28" i="24"/>
  <c r="AA27" i="24"/>
  <c r="AA26" i="24"/>
  <c r="R26" i="24"/>
  <c r="AA25" i="24"/>
  <c r="AA24" i="24"/>
  <c r="AA23" i="24"/>
  <c r="AA22" i="24"/>
  <c r="AA21" i="24"/>
  <c r="AA20" i="24"/>
  <c r="AA19" i="24"/>
  <c r="Q18" i="24"/>
  <c r="R18" i="24" s="1"/>
  <c r="S18" i="24" s="1"/>
  <c r="T18" i="24" s="1"/>
  <c r="V18" i="24" s="1"/>
  <c r="W18" i="24" s="1"/>
  <c r="X18" i="24" s="1"/>
  <c r="N18" i="24"/>
  <c r="O18" i="24" s="1"/>
  <c r="O11" i="24"/>
  <c r="O10" i="24"/>
  <c r="O9" i="24"/>
  <c r="O8" i="24"/>
  <c r="L6" i="24"/>
  <c r="L101" i="23"/>
  <c r="E130" i="40" s="1"/>
  <c r="K101" i="23"/>
  <c r="N101" i="23" s="1"/>
  <c r="J130" i="40" s="1"/>
  <c r="J101" i="23"/>
  <c r="M101" i="23" s="1"/>
  <c r="F130" i="40" s="1"/>
  <c r="I101" i="23"/>
  <c r="N100" i="23"/>
  <c r="J129" i="40" s="1"/>
  <c r="K100" i="23"/>
  <c r="J100" i="23"/>
  <c r="M100" i="23" s="1"/>
  <c r="F129" i="40" s="1"/>
  <c r="I100" i="23"/>
  <c r="L100" i="23" s="1"/>
  <c r="E129" i="40" s="1"/>
  <c r="L99" i="23"/>
  <c r="E128" i="40" s="1"/>
  <c r="K99" i="23"/>
  <c r="N99" i="23" s="1"/>
  <c r="J128" i="40" s="1"/>
  <c r="J99" i="23"/>
  <c r="M99" i="23" s="1"/>
  <c r="F128" i="40" s="1"/>
  <c r="I99" i="23"/>
  <c r="N98" i="23"/>
  <c r="J127" i="40" s="1"/>
  <c r="K98" i="23"/>
  <c r="J98" i="23"/>
  <c r="M98" i="23" s="1"/>
  <c r="F127" i="40" s="1"/>
  <c r="I98" i="23"/>
  <c r="L98" i="23" s="1"/>
  <c r="E127" i="40" s="1"/>
  <c r="L97" i="23"/>
  <c r="E126" i="40" s="1"/>
  <c r="K97" i="23"/>
  <c r="N97" i="23" s="1"/>
  <c r="J126" i="40" s="1"/>
  <c r="J97" i="23"/>
  <c r="M97" i="23" s="1"/>
  <c r="F126" i="40" s="1"/>
  <c r="I97" i="23"/>
  <c r="N96" i="23"/>
  <c r="J123" i="40" s="1"/>
  <c r="K96" i="23"/>
  <c r="J96" i="23"/>
  <c r="M96" i="23" s="1"/>
  <c r="F123" i="40" s="1"/>
  <c r="I96" i="23"/>
  <c r="L96" i="23" s="1"/>
  <c r="E123" i="40" s="1"/>
  <c r="E124" i="40" s="1"/>
  <c r="L95" i="23"/>
  <c r="E120" i="40" s="1"/>
  <c r="E121" i="40" s="1"/>
  <c r="K95" i="23"/>
  <c r="N95" i="23" s="1"/>
  <c r="J120" i="40" s="1"/>
  <c r="J95" i="23"/>
  <c r="M95" i="23" s="1"/>
  <c r="F120" i="40" s="1"/>
  <c r="I95" i="23"/>
  <c r="N94" i="23"/>
  <c r="J117" i="40" s="1"/>
  <c r="K94" i="23"/>
  <c r="J94" i="23"/>
  <c r="M94" i="23" s="1"/>
  <c r="F117" i="40" s="1"/>
  <c r="I94" i="23"/>
  <c r="L94" i="23" s="1"/>
  <c r="E117" i="40" s="1"/>
  <c r="E118" i="40" s="1"/>
  <c r="L93" i="23"/>
  <c r="E116" i="40" s="1"/>
  <c r="K93" i="23"/>
  <c r="N93" i="23" s="1"/>
  <c r="J116" i="40" s="1"/>
  <c r="J93" i="23"/>
  <c r="M93" i="23" s="1"/>
  <c r="F116" i="40" s="1"/>
  <c r="I93" i="23"/>
  <c r="N92" i="23"/>
  <c r="J115" i="40" s="1"/>
  <c r="K92" i="23"/>
  <c r="J92" i="23"/>
  <c r="M92" i="23" s="1"/>
  <c r="F115" i="40" s="1"/>
  <c r="I92" i="23"/>
  <c r="L92" i="23" s="1"/>
  <c r="E115" i="40" s="1"/>
  <c r="L91" i="23"/>
  <c r="E114" i="40" s="1"/>
  <c r="K91" i="23"/>
  <c r="N91" i="23" s="1"/>
  <c r="J114" i="40" s="1"/>
  <c r="J91" i="23"/>
  <c r="M91" i="23" s="1"/>
  <c r="F114" i="40" s="1"/>
  <c r="I91" i="23"/>
  <c r="N90" i="23"/>
  <c r="J113" i="40" s="1"/>
  <c r="K90" i="23"/>
  <c r="J90" i="23"/>
  <c r="M90" i="23" s="1"/>
  <c r="F113" i="40" s="1"/>
  <c r="I90" i="23"/>
  <c r="L90" i="23" s="1"/>
  <c r="E113" i="40" s="1"/>
  <c r="L89" i="23"/>
  <c r="E112" i="40" s="1"/>
  <c r="K89" i="23"/>
  <c r="N89" i="23" s="1"/>
  <c r="J112" i="40" s="1"/>
  <c r="J89" i="23"/>
  <c r="M89" i="23" s="1"/>
  <c r="F112" i="40" s="1"/>
  <c r="I89" i="23"/>
  <c r="N88" i="23"/>
  <c r="J111" i="40" s="1"/>
  <c r="K88" i="23"/>
  <c r="J88" i="23"/>
  <c r="M88" i="23" s="1"/>
  <c r="F111" i="40" s="1"/>
  <c r="I88" i="23"/>
  <c r="L88" i="23" s="1"/>
  <c r="E111" i="40" s="1"/>
  <c r="L87" i="23"/>
  <c r="E110" i="40" s="1"/>
  <c r="K87" i="23"/>
  <c r="N87" i="23" s="1"/>
  <c r="J110" i="40" s="1"/>
  <c r="J87" i="23"/>
  <c r="M87" i="23" s="1"/>
  <c r="F110" i="40" s="1"/>
  <c r="I87" i="23"/>
  <c r="N86" i="23"/>
  <c r="J109" i="40" s="1"/>
  <c r="K86" i="23"/>
  <c r="J86" i="23"/>
  <c r="M86" i="23" s="1"/>
  <c r="F109" i="40" s="1"/>
  <c r="I86" i="23"/>
  <c r="L86" i="23" s="1"/>
  <c r="E109" i="40" s="1"/>
  <c r="L85" i="23"/>
  <c r="E108" i="40" s="1"/>
  <c r="K85" i="23"/>
  <c r="N85" i="23" s="1"/>
  <c r="J108" i="40" s="1"/>
  <c r="J85" i="23"/>
  <c r="M85" i="23" s="1"/>
  <c r="F108" i="40" s="1"/>
  <c r="I85" i="23"/>
  <c r="N84" i="23"/>
  <c r="J107" i="40" s="1"/>
  <c r="K84" i="23"/>
  <c r="J84" i="23"/>
  <c r="M84" i="23" s="1"/>
  <c r="F107" i="40" s="1"/>
  <c r="I84" i="23"/>
  <c r="L84" i="23" s="1"/>
  <c r="E107" i="40" s="1"/>
  <c r="L83" i="23"/>
  <c r="E106" i="40" s="1"/>
  <c r="K83" i="23"/>
  <c r="N83" i="23" s="1"/>
  <c r="J106" i="40" s="1"/>
  <c r="J83" i="23"/>
  <c r="M83" i="23" s="1"/>
  <c r="I83" i="23"/>
  <c r="N82" i="23"/>
  <c r="J105" i="40" s="1"/>
  <c r="K82" i="23"/>
  <c r="J82" i="23"/>
  <c r="M82" i="23" s="1"/>
  <c r="F105" i="40" s="1"/>
  <c r="I82" i="23"/>
  <c r="L82" i="23" s="1"/>
  <c r="E105" i="40" s="1"/>
  <c r="L81" i="23"/>
  <c r="E104" i="40" s="1"/>
  <c r="K81" i="23"/>
  <c r="N81" i="23" s="1"/>
  <c r="J104" i="40" s="1"/>
  <c r="J81" i="23"/>
  <c r="M81" i="23" s="1"/>
  <c r="F104" i="40" s="1"/>
  <c r="I81" i="23"/>
  <c r="N80" i="23"/>
  <c r="J103" i="40" s="1"/>
  <c r="K80" i="23"/>
  <c r="J80" i="23"/>
  <c r="M80" i="23" s="1"/>
  <c r="F103" i="40" s="1"/>
  <c r="I80" i="23"/>
  <c r="L80" i="23" s="1"/>
  <c r="E103" i="40" s="1"/>
  <c r="L79" i="23"/>
  <c r="E102" i="40" s="1"/>
  <c r="K79" i="23"/>
  <c r="N79" i="23" s="1"/>
  <c r="J102" i="40" s="1"/>
  <c r="J79" i="23"/>
  <c r="M79" i="23" s="1"/>
  <c r="F102" i="40" s="1"/>
  <c r="I79" i="23"/>
  <c r="N78" i="23"/>
  <c r="J99" i="40" s="1"/>
  <c r="K78" i="23"/>
  <c r="J78" i="23"/>
  <c r="M78" i="23" s="1"/>
  <c r="F99" i="40" s="1"/>
  <c r="I78" i="23"/>
  <c r="L78" i="23" s="1"/>
  <c r="E99" i="40" s="1"/>
  <c r="E100" i="40" s="1"/>
  <c r="L77" i="23"/>
  <c r="E98" i="40" s="1"/>
  <c r="K77" i="23"/>
  <c r="N77" i="23" s="1"/>
  <c r="J98" i="40" s="1"/>
  <c r="J77" i="23"/>
  <c r="M77" i="23" s="1"/>
  <c r="F98" i="40" s="1"/>
  <c r="I77" i="23"/>
  <c r="N76" i="23"/>
  <c r="J97" i="40" s="1"/>
  <c r="K76" i="23"/>
  <c r="J76" i="23"/>
  <c r="M76" i="23" s="1"/>
  <c r="F97" i="40" s="1"/>
  <c r="I76" i="23"/>
  <c r="L76" i="23" s="1"/>
  <c r="E97" i="40" s="1"/>
  <c r="L75" i="23"/>
  <c r="E96" i="40" s="1"/>
  <c r="K75" i="23"/>
  <c r="N75" i="23" s="1"/>
  <c r="J96" i="40" s="1"/>
  <c r="J75" i="23"/>
  <c r="M75" i="23" s="1"/>
  <c r="F96" i="40" s="1"/>
  <c r="I75" i="23"/>
  <c r="N74" i="23"/>
  <c r="J95" i="40" s="1"/>
  <c r="K74" i="23"/>
  <c r="J74" i="23"/>
  <c r="M74" i="23" s="1"/>
  <c r="F95" i="40" s="1"/>
  <c r="I74" i="23"/>
  <c r="L74" i="23" s="1"/>
  <c r="E95" i="40" s="1"/>
  <c r="L73" i="23"/>
  <c r="E94" i="40" s="1"/>
  <c r="K73" i="23"/>
  <c r="N73" i="23" s="1"/>
  <c r="J94" i="40" s="1"/>
  <c r="J73" i="23"/>
  <c r="M73" i="23" s="1"/>
  <c r="F94" i="40" s="1"/>
  <c r="I73" i="23"/>
  <c r="N72" i="23"/>
  <c r="J93" i="40" s="1"/>
  <c r="K72" i="23"/>
  <c r="J72" i="23"/>
  <c r="M72" i="23" s="1"/>
  <c r="F93" i="40" s="1"/>
  <c r="I72" i="23"/>
  <c r="L72" i="23" s="1"/>
  <c r="E93" i="40" s="1"/>
  <c r="L71" i="23"/>
  <c r="E92" i="40" s="1"/>
  <c r="K71" i="23"/>
  <c r="N71" i="23" s="1"/>
  <c r="J92" i="40" s="1"/>
  <c r="J71" i="23"/>
  <c r="M71" i="23" s="1"/>
  <c r="F92" i="40" s="1"/>
  <c r="I71" i="23"/>
  <c r="N70" i="23"/>
  <c r="J91" i="40" s="1"/>
  <c r="K70" i="23"/>
  <c r="J70" i="23"/>
  <c r="M70" i="23" s="1"/>
  <c r="F91" i="40" s="1"/>
  <c r="I70" i="23"/>
  <c r="L70" i="23" s="1"/>
  <c r="E91" i="40" s="1"/>
  <c r="L69" i="23"/>
  <c r="E90" i="40" s="1"/>
  <c r="K69" i="23"/>
  <c r="N69" i="23" s="1"/>
  <c r="J90" i="40" s="1"/>
  <c r="J69" i="23"/>
  <c r="M69" i="23" s="1"/>
  <c r="F90" i="40" s="1"/>
  <c r="I69" i="23"/>
  <c r="N68" i="23"/>
  <c r="J89" i="40" s="1"/>
  <c r="K68" i="23"/>
  <c r="J68" i="23"/>
  <c r="M68" i="23" s="1"/>
  <c r="F89" i="40" s="1"/>
  <c r="I68" i="23"/>
  <c r="L68" i="23" s="1"/>
  <c r="E89" i="40" s="1"/>
  <c r="L67" i="23"/>
  <c r="E88" i="40" s="1"/>
  <c r="K67" i="23"/>
  <c r="N67" i="23" s="1"/>
  <c r="J88" i="40" s="1"/>
  <c r="J67" i="23"/>
  <c r="M67" i="23" s="1"/>
  <c r="F88" i="40" s="1"/>
  <c r="I67" i="23"/>
  <c r="N66" i="23"/>
  <c r="J87" i="40" s="1"/>
  <c r="K66" i="23"/>
  <c r="J66" i="23"/>
  <c r="M66" i="23" s="1"/>
  <c r="F87" i="40" s="1"/>
  <c r="I66" i="23"/>
  <c r="L66" i="23" s="1"/>
  <c r="E87" i="40" s="1"/>
  <c r="L65" i="23"/>
  <c r="E86" i="40" s="1"/>
  <c r="K65" i="23"/>
  <c r="N65" i="23" s="1"/>
  <c r="J86" i="40" s="1"/>
  <c r="J65" i="23"/>
  <c r="M65" i="23" s="1"/>
  <c r="F86" i="40" s="1"/>
  <c r="I65" i="23"/>
  <c r="N64" i="23"/>
  <c r="J85" i="40" s="1"/>
  <c r="K64" i="23"/>
  <c r="J64" i="23"/>
  <c r="M64" i="23" s="1"/>
  <c r="F85" i="40" s="1"/>
  <c r="I64" i="23"/>
  <c r="L64" i="23" s="1"/>
  <c r="E85" i="40" s="1"/>
  <c r="L63" i="23"/>
  <c r="E84" i="40" s="1"/>
  <c r="K63" i="23"/>
  <c r="N63" i="23" s="1"/>
  <c r="J84" i="40" s="1"/>
  <c r="J63" i="23"/>
  <c r="M63" i="23" s="1"/>
  <c r="F84" i="40" s="1"/>
  <c r="I63" i="23"/>
  <c r="N62" i="23"/>
  <c r="J83" i="40" s="1"/>
  <c r="K62" i="23"/>
  <c r="J62" i="23"/>
  <c r="M62" i="23" s="1"/>
  <c r="F83" i="40" s="1"/>
  <c r="I62" i="23"/>
  <c r="L62" i="23" s="1"/>
  <c r="E83" i="40" s="1"/>
  <c r="L61" i="23"/>
  <c r="E82" i="40" s="1"/>
  <c r="K61" i="23"/>
  <c r="N61" i="23" s="1"/>
  <c r="J61" i="23"/>
  <c r="M61" i="23" s="1"/>
  <c r="F82" i="40" s="1"/>
  <c r="I61" i="23"/>
  <c r="N60" i="23"/>
  <c r="J81" i="40" s="1"/>
  <c r="K60" i="23"/>
  <c r="J60" i="23"/>
  <c r="M60" i="23" s="1"/>
  <c r="F81" i="40" s="1"/>
  <c r="I60" i="23"/>
  <c r="L60" i="23" s="1"/>
  <c r="E81" i="40" s="1"/>
  <c r="L59" i="23"/>
  <c r="E80" i="40" s="1"/>
  <c r="K59" i="23"/>
  <c r="N59" i="23" s="1"/>
  <c r="J80" i="40" s="1"/>
  <c r="J59" i="23"/>
  <c r="M59" i="23" s="1"/>
  <c r="F80" i="40" s="1"/>
  <c r="I59" i="23"/>
  <c r="N58" i="23"/>
  <c r="J79" i="40" s="1"/>
  <c r="K58" i="23"/>
  <c r="J58" i="23"/>
  <c r="M58" i="23" s="1"/>
  <c r="F79" i="40" s="1"/>
  <c r="I58" i="23"/>
  <c r="L58" i="23" s="1"/>
  <c r="E79" i="40" s="1"/>
  <c r="L57" i="23"/>
  <c r="E78" i="40" s="1"/>
  <c r="K57" i="23"/>
  <c r="N57" i="23" s="1"/>
  <c r="J78" i="40" s="1"/>
  <c r="J57" i="23"/>
  <c r="M57" i="23" s="1"/>
  <c r="F78" i="40" s="1"/>
  <c r="I57" i="23"/>
  <c r="N56" i="23"/>
  <c r="J77" i="40" s="1"/>
  <c r="K56" i="23"/>
  <c r="J56" i="23"/>
  <c r="M56" i="23" s="1"/>
  <c r="F77" i="40" s="1"/>
  <c r="I56" i="23"/>
  <c r="L56" i="23" s="1"/>
  <c r="E77" i="40" s="1"/>
  <c r="L55" i="23"/>
  <c r="E76" i="40" s="1"/>
  <c r="K55" i="23"/>
  <c r="N55" i="23" s="1"/>
  <c r="J76" i="40" s="1"/>
  <c r="J55" i="23"/>
  <c r="M55" i="23" s="1"/>
  <c r="F76" i="40" s="1"/>
  <c r="I55" i="23"/>
  <c r="N54" i="23"/>
  <c r="J75" i="40" s="1"/>
  <c r="K54" i="23"/>
  <c r="J54" i="23"/>
  <c r="M54" i="23" s="1"/>
  <c r="F75" i="40" s="1"/>
  <c r="I54" i="23"/>
  <c r="L54" i="23" s="1"/>
  <c r="E75" i="40" s="1"/>
  <c r="L53" i="23"/>
  <c r="E74" i="40" s="1"/>
  <c r="K53" i="23"/>
  <c r="N53" i="23" s="1"/>
  <c r="J74" i="40" s="1"/>
  <c r="J53" i="23"/>
  <c r="M53" i="23" s="1"/>
  <c r="F74" i="40" s="1"/>
  <c r="I53" i="23"/>
  <c r="N52" i="23"/>
  <c r="J73" i="40" s="1"/>
  <c r="K52" i="23"/>
  <c r="J52" i="23"/>
  <c r="M52" i="23" s="1"/>
  <c r="F73" i="40" s="1"/>
  <c r="I52" i="23"/>
  <c r="L52" i="23" s="1"/>
  <c r="E73" i="40" s="1"/>
  <c r="L51" i="23"/>
  <c r="E72" i="40" s="1"/>
  <c r="K51" i="23"/>
  <c r="N51" i="23" s="1"/>
  <c r="J72" i="40" s="1"/>
  <c r="J51" i="23"/>
  <c r="M51" i="23" s="1"/>
  <c r="F72" i="40" s="1"/>
  <c r="I51" i="23"/>
  <c r="N50" i="23"/>
  <c r="J69" i="40" s="1"/>
  <c r="K50" i="23"/>
  <c r="J50" i="23"/>
  <c r="M50" i="23" s="1"/>
  <c r="F69" i="40" s="1"/>
  <c r="I50" i="23"/>
  <c r="L50" i="23" s="1"/>
  <c r="E69" i="40" s="1"/>
  <c r="L49" i="23"/>
  <c r="E68" i="40" s="1"/>
  <c r="K68" i="40" s="1"/>
  <c r="K49" i="23"/>
  <c r="N49" i="23" s="1"/>
  <c r="J68" i="40" s="1"/>
  <c r="L68" i="40" s="1"/>
  <c r="J49" i="23"/>
  <c r="M49" i="23" s="1"/>
  <c r="F68" i="40" s="1"/>
  <c r="I49" i="23"/>
  <c r="N48" i="23"/>
  <c r="J67" i="40" s="1"/>
  <c r="K48" i="23"/>
  <c r="J48" i="23"/>
  <c r="M48" i="23" s="1"/>
  <c r="F67" i="40" s="1"/>
  <c r="I48" i="23"/>
  <c r="L48" i="23" s="1"/>
  <c r="E67" i="40" s="1"/>
  <c r="K67" i="40" s="1"/>
  <c r="L47" i="23"/>
  <c r="E66" i="40" s="1"/>
  <c r="K66" i="40" s="1"/>
  <c r="K47" i="23"/>
  <c r="N47" i="23" s="1"/>
  <c r="J47" i="23"/>
  <c r="M47" i="23" s="1"/>
  <c r="F66" i="40" s="1"/>
  <c r="I47" i="23"/>
  <c r="N46" i="23"/>
  <c r="J65" i="40" s="1"/>
  <c r="K46" i="23"/>
  <c r="J46" i="23"/>
  <c r="M46" i="23" s="1"/>
  <c r="F65" i="40" s="1"/>
  <c r="I46" i="23"/>
  <c r="L46" i="23" s="1"/>
  <c r="E65" i="40" s="1"/>
  <c r="K65" i="40" s="1"/>
  <c r="L45" i="23"/>
  <c r="E64" i="40" s="1"/>
  <c r="K64" i="40" s="1"/>
  <c r="K45" i="23"/>
  <c r="N45" i="23" s="1"/>
  <c r="J64" i="40" s="1"/>
  <c r="J45" i="23"/>
  <c r="M45" i="23" s="1"/>
  <c r="F64" i="40" s="1"/>
  <c r="I45" i="23"/>
  <c r="N44" i="23"/>
  <c r="J63" i="40" s="1"/>
  <c r="K44" i="23"/>
  <c r="J44" i="23"/>
  <c r="M44" i="23" s="1"/>
  <c r="F63" i="40" s="1"/>
  <c r="I44" i="23"/>
  <c r="L44" i="23" s="1"/>
  <c r="E63" i="40" s="1"/>
  <c r="K63" i="40" s="1"/>
  <c r="L43" i="23"/>
  <c r="E62" i="40" s="1"/>
  <c r="K62" i="40" s="1"/>
  <c r="K43" i="23"/>
  <c r="N43" i="23" s="1"/>
  <c r="J62" i="40" s="1"/>
  <c r="J43" i="23"/>
  <c r="M43" i="23" s="1"/>
  <c r="F62" i="40" s="1"/>
  <c r="I43" i="23"/>
  <c r="N42" i="23"/>
  <c r="J61" i="40" s="1"/>
  <c r="K42" i="23"/>
  <c r="J42" i="23"/>
  <c r="M42" i="23" s="1"/>
  <c r="F61" i="40" s="1"/>
  <c r="I42" i="23"/>
  <c r="L42" i="23" s="1"/>
  <c r="E61" i="40" s="1"/>
  <c r="K61" i="40" s="1"/>
  <c r="L41" i="23"/>
  <c r="E60" i="40" s="1"/>
  <c r="K60" i="40" s="1"/>
  <c r="K41" i="23"/>
  <c r="N41" i="23" s="1"/>
  <c r="J60" i="40" s="1"/>
  <c r="J41" i="23"/>
  <c r="M41" i="23" s="1"/>
  <c r="F60" i="40" s="1"/>
  <c r="I41" i="23"/>
  <c r="N40" i="23"/>
  <c r="J59" i="40" s="1"/>
  <c r="M40" i="23"/>
  <c r="F59" i="40" s="1"/>
  <c r="K40" i="23"/>
  <c r="J40" i="23"/>
  <c r="I40" i="23"/>
  <c r="L40" i="23" s="1"/>
  <c r="E59" i="40" s="1"/>
  <c r="K59" i="40" s="1"/>
  <c r="L39" i="23"/>
  <c r="E58" i="40" s="1"/>
  <c r="K58" i="40" s="1"/>
  <c r="K39" i="23"/>
  <c r="N39" i="23" s="1"/>
  <c r="J58" i="40" s="1"/>
  <c r="J39" i="23"/>
  <c r="M39" i="23" s="1"/>
  <c r="F58" i="40" s="1"/>
  <c r="I39" i="23"/>
  <c r="N38" i="23"/>
  <c r="J57" i="40" s="1"/>
  <c r="M38" i="23"/>
  <c r="F57" i="40" s="1"/>
  <c r="K38" i="23"/>
  <c r="J38" i="23"/>
  <c r="I38" i="23"/>
  <c r="L38" i="23" s="1"/>
  <c r="E57" i="40" s="1"/>
  <c r="K57" i="40" s="1"/>
  <c r="L37" i="23"/>
  <c r="E56" i="40" s="1"/>
  <c r="K56" i="40" s="1"/>
  <c r="K37" i="23"/>
  <c r="N37" i="23" s="1"/>
  <c r="J56" i="40" s="1"/>
  <c r="J37" i="23"/>
  <c r="M37" i="23" s="1"/>
  <c r="F56" i="40" s="1"/>
  <c r="I37" i="23"/>
  <c r="N36" i="23"/>
  <c r="J55" i="40" s="1"/>
  <c r="K36" i="23"/>
  <c r="J36" i="23"/>
  <c r="M36" i="23" s="1"/>
  <c r="F55" i="40" s="1"/>
  <c r="I36" i="23"/>
  <c r="L36" i="23" s="1"/>
  <c r="E55" i="40" s="1"/>
  <c r="K55" i="40" s="1"/>
  <c r="L35" i="23"/>
  <c r="E54" i="40" s="1"/>
  <c r="K54" i="40" s="1"/>
  <c r="K35" i="23"/>
  <c r="N35" i="23" s="1"/>
  <c r="J54" i="40" s="1"/>
  <c r="J35" i="23"/>
  <c r="M35" i="23" s="1"/>
  <c r="F54" i="40" s="1"/>
  <c r="I35" i="23"/>
  <c r="N34" i="23"/>
  <c r="J53" i="40" s="1"/>
  <c r="K34" i="23"/>
  <c r="J34" i="23"/>
  <c r="M34" i="23" s="1"/>
  <c r="F53" i="40" s="1"/>
  <c r="I34" i="23"/>
  <c r="L34" i="23" s="1"/>
  <c r="E53" i="40" s="1"/>
  <c r="K53" i="40" s="1"/>
  <c r="L33" i="23"/>
  <c r="E52" i="40" s="1"/>
  <c r="K52" i="40" s="1"/>
  <c r="K33" i="23"/>
  <c r="N33" i="23" s="1"/>
  <c r="J52" i="40" s="1"/>
  <c r="J33" i="23"/>
  <c r="M33" i="23" s="1"/>
  <c r="F52" i="40" s="1"/>
  <c r="I33" i="23"/>
  <c r="N32" i="23"/>
  <c r="J51" i="40" s="1"/>
  <c r="M32" i="23"/>
  <c r="F51" i="40" s="1"/>
  <c r="K32" i="23"/>
  <c r="J32" i="23"/>
  <c r="I32" i="23"/>
  <c r="L32" i="23" s="1"/>
  <c r="E51" i="40" s="1"/>
  <c r="K51" i="40" s="1"/>
  <c r="L31" i="23"/>
  <c r="E50" i="40" s="1"/>
  <c r="K50" i="40" s="1"/>
  <c r="K31" i="23"/>
  <c r="N31" i="23" s="1"/>
  <c r="J50" i="40" s="1"/>
  <c r="J31" i="23"/>
  <c r="M31" i="23" s="1"/>
  <c r="F50" i="40" s="1"/>
  <c r="I31" i="23"/>
  <c r="N30" i="23"/>
  <c r="J49" i="40" s="1"/>
  <c r="M30" i="23"/>
  <c r="F49" i="40" s="1"/>
  <c r="K30" i="23"/>
  <c r="J30" i="23"/>
  <c r="I30" i="23"/>
  <c r="L30" i="23" s="1"/>
  <c r="E49" i="40" s="1"/>
  <c r="K49" i="40" s="1"/>
  <c r="L29" i="23"/>
  <c r="E48" i="40" s="1"/>
  <c r="K48" i="40" s="1"/>
  <c r="K29" i="23"/>
  <c r="N29" i="23" s="1"/>
  <c r="J48" i="40" s="1"/>
  <c r="J29" i="23"/>
  <c r="M29" i="23" s="1"/>
  <c r="F48" i="40" s="1"/>
  <c r="I29" i="23"/>
  <c r="N28" i="23"/>
  <c r="J47" i="40" s="1"/>
  <c r="K28" i="23"/>
  <c r="J28" i="23"/>
  <c r="M28" i="23" s="1"/>
  <c r="F47" i="40" s="1"/>
  <c r="I28" i="23"/>
  <c r="L28" i="23" s="1"/>
  <c r="E47" i="40" s="1"/>
  <c r="K47" i="40" s="1"/>
  <c r="M27" i="23"/>
  <c r="F46" i="40" s="1"/>
  <c r="L27" i="23"/>
  <c r="E46" i="40" s="1"/>
  <c r="K46" i="40" s="1"/>
  <c r="K27" i="23"/>
  <c r="N27" i="23" s="1"/>
  <c r="J46" i="40" s="1"/>
  <c r="J27" i="23"/>
  <c r="I27" i="23"/>
  <c r="M26" i="23"/>
  <c r="F45" i="40" s="1"/>
  <c r="K26" i="23"/>
  <c r="N26" i="23" s="1"/>
  <c r="J45" i="40" s="1"/>
  <c r="J26" i="23"/>
  <c r="I26" i="23"/>
  <c r="L26" i="23" s="1"/>
  <c r="E45" i="40" s="1"/>
  <c r="K45" i="40" s="1"/>
  <c r="M25" i="23"/>
  <c r="F44" i="40" s="1"/>
  <c r="K25" i="23"/>
  <c r="N25" i="23" s="1"/>
  <c r="J44" i="40" s="1"/>
  <c r="J25" i="23"/>
  <c r="I25" i="23"/>
  <c r="L25" i="23" s="1"/>
  <c r="E44" i="40" s="1"/>
  <c r="K44" i="40" s="1"/>
  <c r="N24" i="23"/>
  <c r="J43" i="40" s="1"/>
  <c r="K24" i="23"/>
  <c r="J24" i="23"/>
  <c r="M24" i="23" s="1"/>
  <c r="F43" i="40" s="1"/>
  <c r="I24" i="23"/>
  <c r="L24" i="23" s="1"/>
  <c r="E43" i="40" s="1"/>
  <c r="K43" i="40" s="1"/>
  <c r="M23" i="23"/>
  <c r="F42" i="40" s="1"/>
  <c r="L23" i="23"/>
  <c r="E42" i="40" s="1"/>
  <c r="K42" i="40" s="1"/>
  <c r="K23" i="23"/>
  <c r="N23" i="23" s="1"/>
  <c r="J42" i="40" s="1"/>
  <c r="J23" i="23"/>
  <c r="I23" i="23"/>
  <c r="N22" i="23"/>
  <c r="J41" i="40" s="1"/>
  <c r="M22" i="23"/>
  <c r="F41" i="40" s="1"/>
  <c r="K22" i="23"/>
  <c r="J22" i="23"/>
  <c r="I22" i="23"/>
  <c r="L22" i="23" s="1"/>
  <c r="E41" i="40" s="1"/>
  <c r="K41" i="40" s="1"/>
  <c r="M21" i="23"/>
  <c r="F33" i="40" s="1"/>
  <c r="L21" i="23"/>
  <c r="E33" i="40" s="1"/>
  <c r="K21" i="23"/>
  <c r="N21" i="23" s="1"/>
  <c r="J33" i="40" s="1"/>
  <c r="J21" i="23"/>
  <c r="I21" i="23"/>
  <c r="N20" i="23"/>
  <c r="J32" i="40" s="1"/>
  <c r="K20" i="23"/>
  <c r="J20" i="23"/>
  <c r="M20" i="23" s="1"/>
  <c r="F32" i="40" s="1"/>
  <c r="I20" i="23"/>
  <c r="L20" i="23" s="1"/>
  <c r="E32" i="40" s="1"/>
  <c r="K32" i="40" s="1"/>
  <c r="M19" i="23"/>
  <c r="F31" i="40" s="1"/>
  <c r="L19" i="23"/>
  <c r="E31" i="40" s="1"/>
  <c r="K19" i="23"/>
  <c r="N19" i="23" s="1"/>
  <c r="J31" i="40" s="1"/>
  <c r="J19" i="23"/>
  <c r="I19" i="23"/>
  <c r="N18" i="23"/>
  <c r="J30" i="40" s="1"/>
  <c r="M18" i="23"/>
  <c r="F30" i="40" s="1"/>
  <c r="K18" i="23"/>
  <c r="J18" i="23"/>
  <c r="I18" i="23"/>
  <c r="L18" i="23" s="1"/>
  <c r="E30" i="40" s="1"/>
  <c r="U15" i="23"/>
  <c r="M15" i="23" s="1"/>
  <c r="E19" i="32" s="1"/>
  <c r="N14" i="23"/>
  <c r="I18" i="32" s="1"/>
  <c r="M13" i="23"/>
  <c r="E17" i="32" s="1"/>
  <c r="M12" i="23"/>
  <c r="E16" i="32" s="1"/>
  <c r="M11" i="23"/>
  <c r="E15" i="32" s="1"/>
  <c r="N3" i="23"/>
  <c r="C34" i="22"/>
  <c r="C8" i="22"/>
  <c r="D3" i="44" s="1"/>
  <c r="C7" i="22"/>
  <c r="E5" i="41" s="1"/>
  <c r="E4" i="22"/>
  <c r="C4" i="22" s="1"/>
  <c r="D4" i="7" s="1"/>
  <c r="C2" i="22"/>
  <c r="I53" i="21"/>
  <c r="H53" i="21"/>
  <c r="G53" i="21"/>
  <c r="I52" i="21"/>
  <c r="H52" i="21"/>
  <c r="G52" i="21"/>
  <c r="I51" i="21"/>
  <c r="H51" i="21"/>
  <c r="G51" i="21"/>
  <c r="I50" i="21"/>
  <c r="H50" i="21"/>
  <c r="G50" i="21"/>
  <c r="I49" i="21"/>
  <c r="H49" i="21"/>
  <c r="G49" i="21"/>
  <c r="I48" i="21"/>
  <c r="H48" i="21"/>
  <c r="G48" i="21"/>
  <c r="I47" i="21"/>
  <c r="H47" i="21"/>
  <c r="G47" i="21"/>
  <c r="I46" i="21"/>
  <c r="I45" i="21" s="1"/>
  <c r="K45" i="21"/>
  <c r="G36" i="21"/>
  <c r="F36" i="21"/>
  <c r="F32" i="21"/>
  <c r="E32" i="21"/>
  <c r="F29" i="21"/>
  <c r="E29" i="21"/>
  <c r="AX62" i="20"/>
  <c r="AX61" i="20"/>
  <c r="AX60" i="20"/>
  <c r="AX59" i="20"/>
  <c r="AX58" i="20"/>
  <c r="AX57" i="20"/>
  <c r="AX56" i="20"/>
  <c r="AX55" i="20"/>
  <c r="AX54" i="20"/>
  <c r="AO54" i="20"/>
  <c r="W54" i="20"/>
  <c r="AX51" i="20"/>
  <c r="AX50" i="20"/>
  <c r="AX49" i="20"/>
  <c r="AX48" i="20"/>
  <c r="AX47" i="20"/>
  <c r="AX46" i="20"/>
  <c r="AB46" i="20"/>
  <c r="AX45" i="20"/>
  <c r="AU45" i="20"/>
  <c r="AB45" i="20"/>
  <c r="AN44" i="20"/>
  <c r="AO44" i="20" s="1"/>
  <c r="AP44" i="20" s="1"/>
  <c r="AQ44" i="20" s="1"/>
  <c r="AS44" i="20" s="1"/>
  <c r="AT44" i="20" s="1"/>
  <c r="AU44" i="20" s="1"/>
  <c r="U44" i="20"/>
  <c r="V44" i="20" s="1"/>
  <c r="W44" i="20" s="1"/>
  <c r="X44" i="20" s="1"/>
  <c r="Y44" i="20" s="1"/>
  <c r="AA44" i="20" s="1"/>
  <c r="AB44" i="20" s="1"/>
  <c r="AB36" i="20"/>
  <c r="AB35" i="20"/>
  <c r="AB33" i="20"/>
  <c r="AB32" i="20"/>
  <c r="AB31" i="20"/>
  <c r="AB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G51" i="19"/>
  <c r="AT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U9" i="19"/>
  <c r="AT8" i="19"/>
  <c r="U8" i="19"/>
  <c r="AT7" i="19"/>
  <c r="J7" i="19"/>
  <c r="K8" i="19" s="1"/>
  <c r="L9" i="19" s="1"/>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D46" i="17"/>
  <c r="AP45" i="17"/>
  <c r="AP44" i="17"/>
  <c r="AP43" i="17"/>
  <c r="AM43" i="17"/>
  <c r="AG42" i="17"/>
  <c r="AH42" i="17" s="1"/>
  <c r="AI42" i="17" s="1"/>
  <c r="AK42" i="17" s="1"/>
  <c r="AL42" i="17" s="1"/>
  <c r="AM42" i="17" s="1"/>
  <c r="AF42" i="17"/>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S8" i="17"/>
  <c r="AP7" i="17"/>
  <c r="J7" i="17"/>
  <c r="K8"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I47" i="16" s="1"/>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P43" i="15"/>
  <c r="AM43" i="15"/>
  <c r="S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K8" i="15" s="1"/>
  <c r="S8"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S7"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J48" i="13"/>
  <c r="S48" i="13" s="1"/>
  <c r="AP47" i="13"/>
  <c r="AP46" i="13"/>
  <c r="AD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S7" i="13" s="1"/>
  <c r="AP5" i="13"/>
  <c r="AD5" i="13"/>
  <c r="S5" i="13"/>
  <c r="AP4" i="13"/>
  <c r="AD4" i="13"/>
  <c r="S4" i="13"/>
  <c r="AP3" i="13"/>
  <c r="AD3" i="13"/>
  <c r="S3" i="13"/>
  <c r="AP2" i="13"/>
  <c r="AD2" i="13"/>
  <c r="S2" i="13"/>
  <c r="G14" i="12"/>
  <c r="E13" i="12"/>
  <c r="D6" i="12"/>
  <c r="V190" i="11"/>
  <c r="N175" i="11"/>
  <c r="N170" i="11"/>
  <c r="N164" i="11"/>
  <c r="N153" i="11"/>
  <c r="N148" i="11"/>
  <c r="N142" i="11"/>
  <c r="R127" i="11"/>
  <c r="Q127" i="11"/>
  <c r="Q118" i="11"/>
  <c r="H117" i="11"/>
  <c r="H116" i="11"/>
  <c r="H115" i="11"/>
  <c r="Q109" i="11"/>
  <c r="Q106" i="11"/>
  <c r="H105" i="11"/>
  <c r="H104" i="11"/>
  <c r="H103" i="11"/>
  <c r="F97" i="11"/>
  <c r="AD91" i="11"/>
  <c r="AD85" i="11"/>
  <c r="AD80" i="11"/>
  <c r="AD72" i="11"/>
  <c r="F69" i="11"/>
  <c r="P60" i="11"/>
  <c r="I25" i="11"/>
  <c r="I19" i="11"/>
  <c r="O14" i="11"/>
  <c r="M14" i="11" a="1"/>
  <c r="M14" i="11"/>
  <c r="F14" i="11"/>
  <c r="E14" i="11"/>
  <c r="E13" i="11"/>
  <c r="G13" i="11" s="1"/>
  <c r="E5" i="10"/>
  <c r="E11" i="9"/>
  <c r="D7" i="9"/>
  <c r="F13" i="8"/>
  <c r="E13" i="8"/>
  <c r="F12" i="8"/>
  <c r="F8" i="8"/>
  <c r="D5" i="8"/>
  <c r="D4" i="8"/>
  <c r="D54" i="7"/>
  <c r="G51" i="7"/>
  <c r="E46" i="7"/>
  <c r="G45" i="7"/>
  <c r="E44" i="7"/>
  <c r="G43" i="7"/>
  <c r="E43" i="7"/>
  <c r="G38" i="7"/>
  <c r="E38" i="7"/>
  <c r="E37" i="7"/>
  <c r="E36" i="7"/>
  <c r="G35" i="7"/>
  <c r="E35" i="7"/>
  <c r="G34" i="7"/>
  <c r="E34" i="7"/>
  <c r="G33" i="7"/>
  <c r="E33" i="7"/>
  <c r="E32" i="7"/>
  <c r="A32" i="7"/>
  <c r="D32" i="7" s="1"/>
  <c r="G26" i="7"/>
  <c r="E18" i="7"/>
  <c r="G17" i="7"/>
  <c r="E17" i="7"/>
  <c r="G16" i="7"/>
  <c r="E16" i="7"/>
  <c r="F15" i="7"/>
  <c r="F14" i="7"/>
  <c r="G13" i="7"/>
  <c r="E13" i="7"/>
  <c r="E12" i="7"/>
  <c r="F11" i="7"/>
  <c r="D5" i="7"/>
  <c r="D5" i="6"/>
  <c r="AQ116" i="5"/>
  <c r="AP116" i="5"/>
  <c r="S48" i="54" s="1"/>
  <c r="K52" i="54" s="1"/>
  <c r="S52" i="54" s="1"/>
  <c r="AO116" i="5"/>
  <c r="S47" i="54" s="1"/>
  <c r="AN116" i="5"/>
  <c r="S46" i="54" s="1"/>
  <c r="AM116" i="5"/>
  <c r="AL116" i="5"/>
  <c r="AD48" i="54" s="1"/>
  <c r="AK116" i="5"/>
  <c r="AD47" i="54" s="1"/>
  <c r="AJ116" i="5"/>
  <c r="AD46" i="54" s="1"/>
  <c r="AI116" i="5"/>
  <c r="AH116" i="5"/>
  <c r="AQ111" i="5"/>
  <c r="AP111" i="5"/>
  <c r="S43" i="53" s="1"/>
  <c r="I44" i="53" s="1"/>
  <c r="AO111" i="5"/>
  <c r="S42" i="53" s="1"/>
  <c r="AN111" i="5"/>
  <c r="S41" i="53" s="1"/>
  <c r="AM111" i="5"/>
  <c r="AL111" i="5"/>
  <c r="AC43" i="53" s="1"/>
  <c r="AK111" i="5"/>
  <c r="AC42" i="53" s="1"/>
  <c r="AJ111" i="5"/>
  <c r="AC41" i="53" s="1"/>
  <c r="AI111" i="5"/>
  <c r="AH111" i="5"/>
  <c r="AQ106" i="5"/>
  <c r="AP106" i="5"/>
  <c r="S43" i="52" s="1"/>
  <c r="I44" i="52" s="1"/>
  <c r="AO106" i="5"/>
  <c r="S42" i="52" s="1"/>
  <c r="AN106" i="5"/>
  <c r="S41" i="52" s="1"/>
  <c r="AM106" i="5"/>
  <c r="AL106" i="5"/>
  <c r="AC43" i="52" s="1"/>
  <c r="AK106" i="5"/>
  <c r="AC42" i="52" s="1"/>
  <c r="AJ106" i="5"/>
  <c r="AC41" i="52" s="1"/>
  <c r="AI106" i="5"/>
  <c r="AH106" i="5"/>
  <c r="AQ100" i="5"/>
  <c r="AP100" i="5"/>
  <c r="S48" i="51" s="1"/>
  <c r="K52" i="51" s="1"/>
  <c r="S52" i="51" s="1"/>
  <c r="AO100" i="5"/>
  <c r="S47" i="51" s="1"/>
  <c r="AN100" i="5"/>
  <c r="S46" i="51" s="1"/>
  <c r="AM100" i="5"/>
  <c r="AL100" i="5"/>
  <c r="AD48" i="51" s="1"/>
  <c r="AK100" i="5"/>
  <c r="AD47" i="51" s="1"/>
  <c r="AJ100" i="5"/>
  <c r="AD46" i="51" s="1"/>
  <c r="AI100" i="5"/>
  <c r="AH100" i="5"/>
  <c r="AQ95" i="5"/>
  <c r="AP95" i="5"/>
  <c r="AO95" i="5"/>
  <c r="AN95" i="5"/>
  <c r="AM95" i="5"/>
  <c r="AL95" i="5"/>
  <c r="AK95" i="5"/>
  <c r="AJ95" i="5"/>
  <c r="AI95" i="5"/>
  <c r="AH95" i="5"/>
  <c r="AQ90" i="5"/>
  <c r="AP90" i="5"/>
  <c r="AO90" i="5"/>
  <c r="AN90" i="5"/>
  <c r="AM90" i="5"/>
  <c r="AL90" i="5"/>
  <c r="AK90" i="5"/>
  <c r="AJ90" i="5"/>
  <c r="AI90" i="5"/>
  <c r="AH90" i="5"/>
  <c r="AQ84" i="5"/>
  <c r="AP84" i="5"/>
  <c r="S48" i="39" s="1"/>
  <c r="K52" i="39" s="1"/>
  <c r="S52" i="39" s="1"/>
  <c r="AO84" i="5"/>
  <c r="S47" i="39" s="1"/>
  <c r="AN84" i="5"/>
  <c r="S46" i="39" s="1"/>
  <c r="AM84" i="5"/>
  <c r="AL84" i="5"/>
  <c r="AD48" i="39" s="1"/>
  <c r="AK84" i="5"/>
  <c r="AD47" i="39" s="1"/>
  <c r="AJ84" i="5"/>
  <c r="AD46" i="39" s="1"/>
  <c r="AI84" i="5"/>
  <c r="AH84" i="5"/>
  <c r="AQ79" i="5"/>
  <c r="AP79" i="5"/>
  <c r="S43" i="38" s="1"/>
  <c r="I44" i="38" s="1"/>
  <c r="AO79" i="5"/>
  <c r="S42" i="38" s="1"/>
  <c r="AN79" i="5"/>
  <c r="S41" i="38" s="1"/>
  <c r="AM79" i="5"/>
  <c r="AL79" i="5"/>
  <c r="AC43" i="38" s="1"/>
  <c r="AK79" i="5"/>
  <c r="AC42" i="38" s="1"/>
  <c r="AJ79" i="5"/>
  <c r="AC41" i="38" s="1"/>
  <c r="AI79" i="5"/>
  <c r="AH79" i="5"/>
  <c r="AQ74" i="5"/>
  <c r="AP74" i="5"/>
  <c r="S43" i="37" s="1"/>
  <c r="I44" i="37" s="1"/>
  <c r="AO74" i="5"/>
  <c r="S42" i="37" s="1"/>
  <c r="AN74" i="5"/>
  <c r="S41" i="37" s="1"/>
  <c r="AM74" i="5"/>
  <c r="AL74" i="5"/>
  <c r="AC43" i="37" s="1"/>
  <c r="AK74" i="5"/>
  <c r="AC42" i="37" s="1"/>
  <c r="AJ74" i="5"/>
  <c r="AC41" i="37" s="1"/>
  <c r="AI74" i="5"/>
  <c r="AH74" i="5"/>
  <c r="AQ69" i="5"/>
  <c r="AP69" i="5"/>
  <c r="S43" i="36" s="1"/>
  <c r="I44" i="36" s="1"/>
  <c r="AO69" i="5"/>
  <c r="S42" i="36" s="1"/>
  <c r="AN69" i="5"/>
  <c r="S41" i="36" s="1"/>
  <c r="AM69" i="5"/>
  <c r="AL69" i="5"/>
  <c r="AC43" i="36" s="1"/>
  <c r="AK69" i="5"/>
  <c r="AC42" i="36" s="1"/>
  <c r="AJ69" i="5"/>
  <c r="AC41" i="36" s="1"/>
  <c r="AI69" i="5"/>
  <c r="AH69" i="5"/>
  <c r="AQ64" i="5"/>
  <c r="AP64" i="5"/>
  <c r="S43" i="35" s="1"/>
  <c r="I44" i="35" s="1"/>
  <c r="AO64" i="5"/>
  <c r="S42" i="35" s="1"/>
  <c r="AN64" i="5"/>
  <c r="S41" i="35" s="1"/>
  <c r="AM64" i="5"/>
  <c r="AL64" i="5"/>
  <c r="AC43" i="35" s="1"/>
  <c r="AK64" i="5"/>
  <c r="AC42" i="35" s="1"/>
  <c r="AJ64" i="5"/>
  <c r="AC41" i="35" s="1"/>
  <c r="AI64" i="5"/>
  <c r="AH64" i="5"/>
  <c r="AQ48" i="5"/>
  <c r="S48" i="20" s="1"/>
  <c r="J50" i="20" s="1"/>
  <c r="AP48" i="5"/>
  <c r="S47" i="20" s="1"/>
  <c r="AO48" i="5"/>
  <c r="S46" i="20" s="1"/>
  <c r="AN48" i="5"/>
  <c r="S45" i="20" s="1"/>
  <c r="AM48" i="5"/>
  <c r="AB48" i="20" s="1"/>
  <c r="AL48" i="5"/>
  <c r="AB47" i="20" s="1"/>
  <c r="AK48" i="5"/>
  <c r="AJ48" i="5"/>
  <c r="AI48" i="5"/>
  <c r="AH48" i="5"/>
  <c r="AQ43" i="5"/>
  <c r="S46" i="15" s="1"/>
  <c r="I47" i="15" s="1"/>
  <c r="S47" i="15" s="1"/>
  <c r="AP43" i="5"/>
  <c r="S45" i="15" s="1"/>
  <c r="AO43" i="5"/>
  <c r="S44" i="15" s="1"/>
  <c r="AN43" i="5"/>
  <c r="AM43" i="5"/>
  <c r="AL43" i="5"/>
  <c r="AD45" i="15" s="1"/>
  <c r="AK43" i="5"/>
  <c r="AD44" i="15" s="1"/>
  <c r="AJ43" i="5"/>
  <c r="AD43" i="15" s="1"/>
  <c r="AI43" i="5"/>
  <c r="AH43" i="5"/>
  <c r="AQ38" i="5"/>
  <c r="S46" i="18" s="1"/>
  <c r="AP38" i="5"/>
  <c r="S45" i="18" s="1"/>
  <c r="AO38" i="5"/>
  <c r="S44" i="18" s="1"/>
  <c r="AN38" i="5"/>
  <c r="S43" i="18" s="1"/>
  <c r="AM38" i="5"/>
  <c r="AD46" i="18" s="1"/>
  <c r="AL38" i="5"/>
  <c r="AD45" i="18" s="1"/>
  <c r="AK38" i="5"/>
  <c r="AD44" i="18" s="1"/>
  <c r="AJ38" i="5"/>
  <c r="AD43" i="18" s="1"/>
  <c r="AI38" i="5"/>
  <c r="AH38" i="5"/>
  <c r="AQ33" i="5"/>
  <c r="S46" i="17" s="1"/>
  <c r="AP33" i="5"/>
  <c r="S45" i="17" s="1"/>
  <c r="AO33" i="5"/>
  <c r="S44" i="17" s="1"/>
  <c r="AN33" i="5"/>
  <c r="S43" i="17" s="1"/>
  <c r="AM33" i="5"/>
  <c r="AL33" i="5"/>
  <c r="AD45" i="17" s="1"/>
  <c r="AK33" i="5"/>
  <c r="AD44" i="17" s="1"/>
  <c r="AJ33" i="5"/>
  <c r="AD43" i="17" s="1"/>
  <c r="AI33" i="5"/>
  <c r="AH33" i="5"/>
  <c r="AQ28" i="5"/>
  <c r="U52" i="19" s="1"/>
  <c r="I53" i="19" s="1"/>
  <c r="J54" i="19" s="1"/>
  <c r="AP28" i="5"/>
  <c r="U51" i="19" s="1"/>
  <c r="AO28" i="5"/>
  <c r="AN28" i="5"/>
  <c r="U49" i="19" s="1"/>
  <c r="AM28" i="5"/>
  <c r="AG52" i="19" s="1"/>
  <c r="AL28" i="5"/>
  <c r="AK28" i="5"/>
  <c r="AG50" i="19" s="1"/>
  <c r="AJ28" i="5"/>
  <c r="AG49" i="19" s="1"/>
  <c r="AI28" i="5"/>
  <c r="AH28" i="5"/>
  <c r="AQ23" i="5"/>
  <c r="L22" i="24" s="1"/>
  <c r="F23" i="24" s="1"/>
  <c r="AP23" i="5"/>
  <c r="L21" i="24" s="1"/>
  <c r="AO23" i="5"/>
  <c r="AN23" i="5"/>
  <c r="AM23" i="5"/>
  <c r="O22" i="24" s="1"/>
  <c r="AL23" i="5"/>
  <c r="AK23" i="5"/>
  <c r="AJ23" i="5"/>
  <c r="AI23" i="5"/>
  <c r="AH23" i="5"/>
  <c r="AQ18" i="5"/>
  <c r="S46" i="14" s="1"/>
  <c r="I47" i="14" s="1"/>
  <c r="AP18" i="5"/>
  <c r="S45" i="14" s="1"/>
  <c r="AO18" i="5"/>
  <c r="S44" i="14" s="1"/>
  <c r="AN18" i="5"/>
  <c r="S43" i="14" s="1"/>
  <c r="AM18" i="5"/>
  <c r="AD46" i="14" s="1"/>
  <c r="AL18" i="5"/>
  <c r="AD45" i="14" s="1"/>
  <c r="AK18" i="5"/>
  <c r="AD44" i="14" s="1"/>
  <c r="AJ18" i="5"/>
  <c r="AD43" i="14" s="1"/>
  <c r="AI18" i="5"/>
  <c r="AH18" i="5"/>
  <c r="AQ13" i="5"/>
  <c r="S46" i="13" s="1"/>
  <c r="I47" i="13" s="1"/>
  <c r="S47" i="13" s="1"/>
  <c r="AP13" i="5"/>
  <c r="S45" i="13" s="1"/>
  <c r="AO13" i="5"/>
  <c r="S44" i="13" s="1"/>
  <c r="AN13" i="5"/>
  <c r="S43" i="13" s="1"/>
  <c r="AM13" i="5"/>
  <c r="AL13" i="5"/>
  <c r="AD45" i="13" s="1"/>
  <c r="AK13" i="5"/>
  <c r="AD44" i="13" s="1"/>
  <c r="AJ13" i="5"/>
  <c r="AI13" i="5"/>
  <c r="AH13" i="5"/>
  <c r="D6" i="5"/>
  <c r="R13" i="4"/>
  <c r="Q13" i="4"/>
  <c r="P13" i="4"/>
  <c r="I13" i="4"/>
  <c r="D5" i="4"/>
  <c r="O13" i="3"/>
  <c r="M13" i="3" a="1"/>
  <c r="M13" i="3"/>
  <c r="E13" i="3"/>
  <c r="E12" i="3"/>
  <c r="G12" i="3" s="1"/>
  <c r="E4" i="3"/>
  <c r="E41" i="2"/>
  <c r="F25" i="2"/>
  <c r="E22" i="2"/>
  <c r="E21" i="2"/>
  <c r="F20" i="2"/>
  <c r="E3" i="2"/>
  <c r="E2" i="2"/>
  <c r="M10" i="65"/>
  <c r="AL7" i="53"/>
  <c r="AL46" i="49"/>
  <c r="M2" i="65"/>
  <c r="P11" i="66"/>
  <c r="K9" i="64"/>
  <c r="P2" i="66"/>
  <c r="K2" i="64"/>
  <c r="AL46" i="50"/>
  <c r="AL7" i="49"/>
  <c r="AL46" i="53"/>
  <c r="AL46" i="52"/>
  <c r="AL7" i="50"/>
  <c r="AL7" i="52"/>
  <c r="AL7" i="38"/>
  <c r="AL46" i="35"/>
  <c r="AL46" i="38"/>
  <c r="AL46" i="37"/>
  <c r="AL7" i="36"/>
  <c r="L21" i="27"/>
  <c r="Y25" i="26"/>
  <c r="Y25" i="25"/>
  <c r="Y25" i="24"/>
  <c r="Y23" i="27"/>
  <c r="L20" i="27"/>
  <c r="AL46" i="36"/>
  <c r="L23" i="27"/>
  <c r="L19" i="27"/>
  <c r="AL7" i="35"/>
  <c r="AL7" i="37"/>
  <c r="AV51" i="20"/>
  <c r="AV8" i="20"/>
  <c r="L22" i="27"/>
  <c r="AN49" i="18"/>
  <c r="AN49" i="17"/>
  <c r="AN49" i="16"/>
  <c r="AN49" i="15"/>
  <c r="AN8" i="14"/>
  <c r="AN49" i="13"/>
  <c r="AR55" i="19"/>
  <c r="AN8" i="18"/>
  <c r="J14" i="11"/>
  <c r="J13" i="3"/>
  <c r="AR8" i="19"/>
  <c r="AN8" i="17"/>
  <c r="AN8" i="13"/>
  <c r="AN8" i="15"/>
  <c r="AN49" i="14"/>
  <c r="AR56" i="19"/>
  <c r="AN8" i="16"/>
  <c r="D33" i="7" l="1"/>
  <c r="D34" i="7"/>
  <c r="D35" i="7"/>
  <c r="D36" i="7"/>
  <c r="D37" i="7" s="1"/>
  <c r="D38" i="7" s="1"/>
  <c r="I47" i="17"/>
  <c r="J48" i="17"/>
  <c r="J48" i="14"/>
  <c r="S47" i="14"/>
  <c r="K55" i="19"/>
  <c r="U54" i="19"/>
  <c r="I47" i="18"/>
  <c r="J48" i="18"/>
  <c r="K51" i="20"/>
  <c r="S51" i="20" s="1"/>
  <c r="E176" i="34"/>
  <c r="E137" i="34"/>
  <c r="E98" i="34"/>
  <c r="E59" i="34"/>
  <c r="E18" i="34"/>
  <c r="E180" i="34"/>
  <c r="E141" i="34"/>
  <c r="E102" i="34"/>
  <c r="E63" i="34"/>
  <c r="E22" i="34"/>
  <c r="O21" i="24"/>
  <c r="AD45" i="16"/>
  <c r="S44" i="35"/>
  <c r="J45" i="35"/>
  <c r="J45" i="37"/>
  <c r="S44" i="37"/>
  <c r="E200" i="34"/>
  <c r="E161" i="34"/>
  <c r="E122" i="34"/>
  <c r="E83" i="34"/>
  <c r="E42" i="34"/>
  <c r="AC41" i="50"/>
  <c r="AC41" i="49"/>
  <c r="S41" i="49"/>
  <c r="S41" i="50"/>
  <c r="S6" i="13"/>
  <c r="S7" i="18"/>
  <c r="I49" i="20"/>
  <c r="B34" i="40"/>
  <c r="K33" i="40"/>
  <c r="I11" i="43"/>
  <c r="I11" i="42"/>
  <c r="I8" i="44"/>
  <c r="I26" i="40"/>
  <c r="H15" i="41"/>
  <c r="I27" i="33"/>
  <c r="I10" i="31"/>
  <c r="H10" i="32"/>
  <c r="E188" i="34"/>
  <c r="E149" i="34"/>
  <c r="E110" i="34"/>
  <c r="E71" i="34"/>
  <c r="E30" i="34"/>
  <c r="E192" i="34"/>
  <c r="E153" i="34"/>
  <c r="E114" i="34"/>
  <c r="E75" i="34"/>
  <c r="E34" i="34"/>
  <c r="E204" i="34"/>
  <c r="E165" i="34"/>
  <c r="E126" i="34"/>
  <c r="E87" i="34"/>
  <c r="E46" i="34"/>
  <c r="E208" i="34"/>
  <c r="E169" i="34"/>
  <c r="E130" i="34"/>
  <c r="E91" i="34"/>
  <c r="E50" i="34"/>
  <c r="K8" i="13"/>
  <c r="S8" i="13" s="1"/>
  <c r="S6" i="15"/>
  <c r="S7" i="16"/>
  <c r="J48" i="16"/>
  <c r="O9" i="66"/>
  <c r="G8" i="65"/>
  <c r="F5" i="48"/>
  <c r="E5" i="65"/>
  <c r="D5" i="63"/>
  <c r="J8" i="65"/>
  <c r="E5" i="64"/>
  <c r="E35" i="28"/>
  <c r="E25" i="28"/>
  <c r="E32" i="28"/>
  <c r="E24" i="28"/>
  <c r="E56" i="34"/>
  <c r="E11" i="29"/>
  <c r="E42" i="28"/>
  <c r="E31" i="28"/>
  <c r="L98" i="34"/>
  <c r="E10" i="29"/>
  <c r="L137" i="34"/>
  <c r="L18" i="34"/>
  <c r="L176" i="34"/>
  <c r="E38" i="28"/>
  <c r="U148" i="23"/>
  <c r="M148" i="23" s="1"/>
  <c r="E12" i="12" s="1"/>
  <c r="AA16" i="23"/>
  <c r="N16" i="23" s="1"/>
  <c r="I21" i="32" s="1"/>
  <c r="AA12" i="23"/>
  <c r="N12" i="23" s="1"/>
  <c r="I16" i="32" s="1"/>
  <c r="E30" i="22"/>
  <c r="C30" i="22" s="1"/>
  <c r="D14" i="28" s="1"/>
  <c r="E5" i="22"/>
  <c r="C5" i="22" s="1"/>
  <c r="D5" i="12" s="1"/>
  <c r="E3" i="22"/>
  <c r="C3" i="22" s="1"/>
  <c r="D5" i="32" s="1"/>
  <c r="G17" i="12"/>
  <c r="L59" i="34"/>
  <c r="D8" i="34"/>
  <c r="E28" i="28"/>
  <c r="AA13" i="23"/>
  <c r="N13" i="23" s="1"/>
  <c r="I17" i="32" s="1"/>
  <c r="J47" i="21"/>
  <c r="J46" i="21"/>
  <c r="J45" i="21" s="1"/>
  <c r="E5" i="2" s="1"/>
  <c r="AA15" i="23"/>
  <c r="N15" i="23" s="1"/>
  <c r="I19" i="32" s="1"/>
  <c r="E7" i="4"/>
  <c r="I9" i="44"/>
  <c r="H16" i="41"/>
  <c r="I12" i="43"/>
  <c r="I12" i="42"/>
  <c r="I27" i="40"/>
  <c r="I28" i="33"/>
  <c r="I11" i="31"/>
  <c r="H11" i="32"/>
  <c r="F176" i="34"/>
  <c r="F137" i="34"/>
  <c r="F98" i="34"/>
  <c r="F59" i="34"/>
  <c r="F18" i="34"/>
  <c r="F141" i="34"/>
  <c r="F22" i="34"/>
  <c r="F180" i="34"/>
  <c r="F63" i="34"/>
  <c r="F102" i="34"/>
  <c r="G24" i="24"/>
  <c r="L23" i="24"/>
  <c r="F184" i="34"/>
  <c r="F67" i="34"/>
  <c r="F106" i="34"/>
  <c r="F145" i="34"/>
  <c r="F26" i="34"/>
  <c r="F71" i="34"/>
  <c r="F110" i="34"/>
  <c r="F149" i="34"/>
  <c r="F30" i="34"/>
  <c r="F188" i="34"/>
  <c r="F114" i="34"/>
  <c r="F153" i="34"/>
  <c r="F34" i="34"/>
  <c r="F192" i="34"/>
  <c r="F75" i="34"/>
  <c r="F196" i="34"/>
  <c r="F157" i="34"/>
  <c r="F38" i="34"/>
  <c r="F79" i="34"/>
  <c r="F118" i="34"/>
  <c r="F200" i="34"/>
  <c r="F83" i="34"/>
  <c r="F122" i="34"/>
  <c r="F161" i="34"/>
  <c r="F42" i="34"/>
  <c r="AC42" i="50"/>
  <c r="AC42" i="49"/>
  <c r="S42" i="49"/>
  <c r="S42" i="50"/>
  <c r="F204" i="34"/>
  <c r="F87" i="34"/>
  <c r="F126" i="34"/>
  <c r="F165" i="34"/>
  <c r="F46" i="34"/>
  <c r="F208" i="34"/>
  <c r="F130" i="34"/>
  <c r="F169" i="34"/>
  <c r="F50" i="34"/>
  <c r="F91" i="34"/>
  <c r="F212" i="34"/>
  <c r="F173" i="34"/>
  <c r="F54" i="34"/>
  <c r="F95" i="34"/>
  <c r="F134" i="34"/>
  <c r="G27" i="7"/>
  <c r="K49" i="13"/>
  <c r="S49" i="13" s="1"/>
  <c r="AD46" i="16"/>
  <c r="J49" i="21"/>
  <c r="J50" i="21"/>
  <c r="J51" i="21"/>
  <c r="J52" i="21"/>
  <c r="E6" i="22"/>
  <c r="C6" i="22" s="1"/>
  <c r="E21" i="40" s="1"/>
  <c r="E29" i="22"/>
  <c r="C29" i="22" s="1"/>
  <c r="D5" i="29" s="1"/>
  <c r="AA11" i="23"/>
  <c r="N11" i="23" s="1"/>
  <c r="I15" i="32" s="1"/>
  <c r="I7" i="44"/>
  <c r="I10" i="42"/>
  <c r="H14" i="41"/>
  <c r="I25" i="40"/>
  <c r="I10" i="43"/>
  <c r="I26" i="33"/>
  <c r="I9" i="31"/>
  <c r="H9" i="32"/>
  <c r="F178" i="34"/>
  <c r="F139" i="34"/>
  <c r="F100" i="34"/>
  <c r="F61" i="34"/>
  <c r="F20" i="34"/>
  <c r="O20" i="24"/>
  <c r="AD44" i="16"/>
  <c r="L20" i="24"/>
  <c r="S44" i="16"/>
  <c r="F182" i="34"/>
  <c r="F143" i="34"/>
  <c r="F104" i="34"/>
  <c r="F65" i="34"/>
  <c r="F24" i="34"/>
  <c r="F186" i="34"/>
  <c r="F147" i="34"/>
  <c r="F108" i="34"/>
  <c r="F69" i="34"/>
  <c r="F28" i="34"/>
  <c r="F190" i="34"/>
  <c r="F151" i="34"/>
  <c r="F112" i="34"/>
  <c r="F73" i="34"/>
  <c r="F32" i="34"/>
  <c r="F194" i="34"/>
  <c r="F155" i="34"/>
  <c r="F116" i="34"/>
  <c r="F77" i="34"/>
  <c r="F36" i="34"/>
  <c r="F159" i="34"/>
  <c r="F120" i="34"/>
  <c r="F81" i="34"/>
  <c r="F40" i="34"/>
  <c r="F198" i="34"/>
  <c r="F202" i="34"/>
  <c r="F163" i="34"/>
  <c r="F124" i="34"/>
  <c r="F85" i="34"/>
  <c r="F44" i="34"/>
  <c r="F167" i="34"/>
  <c r="F128" i="34"/>
  <c r="F89" i="34"/>
  <c r="F48" i="34"/>
  <c r="F206" i="34"/>
  <c r="F210" i="34"/>
  <c r="F171" i="34"/>
  <c r="F132" i="34"/>
  <c r="F93" i="34"/>
  <c r="F52" i="34"/>
  <c r="E184" i="34"/>
  <c r="E145" i="34"/>
  <c r="E106" i="34"/>
  <c r="E67" i="34"/>
  <c r="E26" i="34"/>
  <c r="E196" i="34"/>
  <c r="E157" i="34"/>
  <c r="E118" i="34"/>
  <c r="E79" i="34"/>
  <c r="E38" i="34"/>
  <c r="J45" i="52"/>
  <c r="S44" i="52"/>
  <c r="E212" i="34"/>
  <c r="E173" i="34"/>
  <c r="E134" i="34"/>
  <c r="E95" i="34"/>
  <c r="E54" i="34"/>
  <c r="E49" i="2"/>
  <c r="E59" i="2"/>
  <c r="D5" i="5"/>
  <c r="E178" i="34"/>
  <c r="E139" i="34"/>
  <c r="E100" i="34"/>
  <c r="E61" i="34"/>
  <c r="E20" i="34"/>
  <c r="O19" i="24"/>
  <c r="AD43" i="16"/>
  <c r="L19" i="24"/>
  <c r="S43" i="16"/>
  <c r="E182" i="34"/>
  <c r="E143" i="34"/>
  <c r="E104" i="34"/>
  <c r="E65" i="34"/>
  <c r="E24" i="34"/>
  <c r="E186" i="34"/>
  <c r="E147" i="34"/>
  <c r="E108" i="34"/>
  <c r="E69" i="34"/>
  <c r="E28" i="34"/>
  <c r="E190" i="34"/>
  <c r="E151" i="34"/>
  <c r="E112" i="34"/>
  <c r="E73" i="34"/>
  <c r="E32" i="34"/>
  <c r="E194" i="34"/>
  <c r="E155" i="34"/>
  <c r="E116" i="34"/>
  <c r="E77" i="34"/>
  <c r="E36" i="34"/>
  <c r="S44" i="36"/>
  <c r="J45" i="36"/>
  <c r="E198" i="34"/>
  <c r="E159" i="34"/>
  <c r="E120" i="34"/>
  <c r="E81" i="34"/>
  <c r="E40" i="34"/>
  <c r="S44" i="38"/>
  <c r="J45" i="38"/>
  <c r="E202" i="34"/>
  <c r="E163" i="34"/>
  <c r="E124" i="34"/>
  <c r="E85" i="34"/>
  <c r="E44" i="34"/>
  <c r="AC43" i="49"/>
  <c r="AC43" i="50"/>
  <c r="S43" i="49"/>
  <c r="I44" i="49" s="1"/>
  <c r="S43" i="50"/>
  <c r="I44" i="50" s="1"/>
  <c r="E206" i="34"/>
  <c r="E167" i="34"/>
  <c r="E128" i="34"/>
  <c r="E89" i="34"/>
  <c r="E48" i="34"/>
  <c r="E210" i="34"/>
  <c r="E171" i="34"/>
  <c r="E132" i="34"/>
  <c r="E93" i="34"/>
  <c r="E52" i="34"/>
  <c r="J45" i="53"/>
  <c r="S44" i="53"/>
  <c r="G28" i="7"/>
  <c r="D53" i="7"/>
  <c r="E8" i="8"/>
  <c r="G15" i="10"/>
  <c r="E16" i="12"/>
  <c r="K8" i="14"/>
  <c r="S8" i="14" s="1"/>
  <c r="S7" i="15"/>
  <c r="J48" i="15"/>
  <c r="S45" i="16"/>
  <c r="S7" i="17"/>
  <c r="U7" i="19"/>
  <c r="U14" i="23"/>
  <c r="M14" i="23" s="1"/>
  <c r="E18" i="32" s="1"/>
  <c r="L24" i="26"/>
  <c r="H25" i="26"/>
  <c r="L25" i="26" s="1"/>
  <c r="E70" i="40"/>
  <c r="K70" i="40" s="1"/>
  <c r="K69" i="40"/>
  <c r="L23" i="25"/>
  <c r="K7" i="37"/>
  <c r="S7" i="37" s="1"/>
  <c r="S6" i="37"/>
  <c r="L24" i="25"/>
  <c r="H25" i="25"/>
  <c r="L25" i="25" s="1"/>
  <c r="L23" i="26"/>
  <c r="S6" i="35"/>
  <c r="K7" i="35"/>
  <c r="S7" i="35" s="1"/>
  <c r="H54" i="47"/>
  <c r="I48" i="47"/>
  <c r="H48" i="47" s="1"/>
  <c r="J6" i="36"/>
  <c r="S5" i="36"/>
  <c r="J6" i="38"/>
  <c r="I36" i="47"/>
  <c r="H36" i="47" s="1"/>
  <c r="S5" i="53"/>
  <c r="J6" i="53"/>
  <c r="K7" i="52"/>
  <c r="S7" i="52" s="1"/>
  <c r="S6" i="52"/>
  <c r="H15" i="47"/>
  <c r="I58" i="47"/>
  <c r="H58" i="47" s="1"/>
  <c r="K7" i="49"/>
  <c r="S7" i="49" s="1"/>
  <c r="S5" i="50"/>
  <c r="H39" i="47"/>
  <c r="F2" i="65"/>
  <c r="K46" i="37" l="1"/>
  <c r="S46" i="37" s="1"/>
  <c r="S45" i="37"/>
  <c r="S48" i="18"/>
  <c r="K49" i="18"/>
  <c r="S49" i="18" s="1"/>
  <c r="D39" i="7"/>
  <c r="D43" i="7"/>
  <c r="D44" i="7" s="1"/>
  <c r="D45" i="7" s="1"/>
  <c r="D40" i="7"/>
  <c r="S48" i="16"/>
  <c r="K49" i="16"/>
  <c r="S49" i="16" s="1"/>
  <c r="I31" i="40"/>
  <c r="I136" i="40" s="1"/>
  <c r="H31" i="40"/>
  <c r="H136" i="40" s="1"/>
  <c r="S45" i="35"/>
  <c r="K46" i="35"/>
  <c r="S46" i="35" s="1"/>
  <c r="K49" i="14"/>
  <c r="S49" i="14" s="1"/>
  <c r="S48" i="14"/>
  <c r="K7" i="36"/>
  <c r="S7" i="36" s="1"/>
  <c r="S6" i="36"/>
  <c r="S6" i="38"/>
  <c r="K7" i="38"/>
  <c r="S7" i="38" s="1"/>
  <c r="L24" i="24"/>
  <c r="H25" i="24"/>
  <c r="L25" i="24" s="1"/>
  <c r="S48" i="17"/>
  <c r="K49" i="17"/>
  <c r="S49" i="17" s="1"/>
  <c r="K46" i="53"/>
  <c r="S46" i="53" s="1"/>
  <c r="S45" i="53"/>
  <c r="S44" i="49"/>
  <c r="J45" i="49"/>
  <c r="K46" i="38"/>
  <c r="S46" i="38" s="1"/>
  <c r="S45" i="38"/>
  <c r="K7" i="53"/>
  <c r="S7" i="53" s="1"/>
  <c r="S6" i="53"/>
  <c r="S48" i="15"/>
  <c r="K49" i="15"/>
  <c r="S49" i="15" s="1"/>
  <c r="S44" i="50"/>
  <c r="J45" i="50"/>
  <c r="S45" i="36"/>
  <c r="K46" i="36"/>
  <c r="S46" i="36" s="1"/>
  <c r="S45" i="52"/>
  <c r="K46" i="52"/>
  <c r="S46" i="52" s="1"/>
  <c r="D4" i="4"/>
  <c r="B5" i="1"/>
  <c r="U55" i="19"/>
  <c r="L56" i="19"/>
  <c r="U56" i="19" s="1"/>
  <c r="D48" i="7" l="1"/>
  <c r="D47" i="7"/>
  <c r="D51" i="7"/>
  <c r="D49" i="7"/>
  <c r="D46" i="7"/>
  <c r="S45" i="50"/>
  <c r="K46" i="50"/>
  <c r="S46" i="50" s="1"/>
  <c r="K46" i="49"/>
  <c r="S46" i="49" s="1"/>
  <c r="S45" i="49"/>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<sst xmlns="http://schemas.openxmlformats.org/spreadsheetml/2006/main" count="13283" uniqueCount="3539">
  <si>
    <t xml:space="preserve"> (требуется обновление)</t>
  </si>
  <si>
    <t>Код отчёта: PP108.OPEN.INFO.ORG.COLDVSNA.EIAS</t>
  </si>
  <si>
    <t>Версия отчёта: 1.0.2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</si>
  <si>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</si>
  <si>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</si>
  <si>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</si>
  <si>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</si>
  <si>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</si>
  <si>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</si>
  <si>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</si>
  <si>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</si>
  <si>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</si>
  <si>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</si>
  <si>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</si>
  <si>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</si>
  <si>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</si>
  <si>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</si>
  <si>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</si>
  <si>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</si>
  <si>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</si>
  <si>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</si>
  <si>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</si>
  <si>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</si>
  <si>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</si>
  <si>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</si>
  <si>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</si>
  <si>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</si>
  <si>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</si>
  <si>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</si>
  <si>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</si>
  <si>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</si>
  <si>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</si>
  <si>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</si>
  <si>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</si>
  <si>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</si>
  <si>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04.07.2023</t>
  </si>
  <si>
    <t>Отображается, если тип отчёта - изменение</t>
  </si>
  <si>
    <t>Дата периода регулирования, с которой вводятся изменения в тарифы</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</si>
  <si>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</si>
  <si>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</si>
  <si>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</si>
  <si>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</si>
  <si>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</si>
  <si>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Дата принятия решения об изменении тарифов</t>
  </si>
  <si>
    <t>Номер принятия решения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</si>
  <si>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</si>
  <si>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</si>
  <si>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</si>
  <si>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</si>
  <si>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</si>
  <si>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</si>
  <si>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</si>
  <si>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</si>
  <si>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</si>
  <si>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</si>
  <si>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</si>
  <si>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</si>
  <si>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</si>
  <si>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</si>
  <si>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</si>
  <si>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</si>
  <si>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</si>
  <si>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</si>
  <si>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</si>
  <si>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</si>
  <si>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</si>
  <si>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</si>
  <si>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</si>
  <si>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</si>
  <si>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</si>
  <si>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</si>
  <si>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</si>
  <si>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</si>
  <si>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</si>
  <si>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</si>
  <si>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</si>
  <si>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</si>
  <si>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</si>
  <si>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</si>
  <si>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</si>
  <si>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</si>
  <si>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</si>
  <si>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</si>
  <si>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</si>
  <si>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</si>
  <si>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</si>
  <si>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</si>
  <si>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</si>
  <si>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</si>
  <si>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</si>
  <si>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</si>
  <si>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</si>
  <si>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</si>
  <si>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</si>
  <si>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</si>
  <si>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</si>
  <si>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</si>
  <si>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</si>
  <si>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</si>
  <si>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</si>
  <si>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</si>
  <si>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</si>
  <si>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</si>
  <si>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</si>
  <si>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</si>
  <si>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</si>
  <si>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</si>
  <si>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</si>
  <si>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</si>
  <si>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</si>
  <si>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</si>
  <si>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</si>
  <si>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</si>
  <si>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</si>
  <si>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</si>
  <si>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</si>
  <si>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</si>
  <si>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</si>
  <si>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</si>
  <si>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</si>
  <si>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</si>
  <si>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</si>
  <si>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</si>
  <si>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</si>
  <si>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</si>
  <si>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</si>
  <si>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</si>
  <si>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</si>
  <si>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</si>
  <si>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</si>
  <si>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</si>
  <si>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</si>
  <si>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</si>
  <si>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</si>
  <si>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</si>
  <si>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</si>
  <si>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</si>
  <si>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</si>
  <si>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</si>
  <si>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</si>
  <si>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</si>
  <si>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</si>
  <si>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</si>
  <si>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</si>
  <si>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</si>
  <si>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</si>
  <si>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</si>
  <si>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</si>
  <si>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</si>
  <si>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</si>
  <si>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</si>
  <si>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</si>
  <si>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</si>
  <si>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</si>
  <si>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</si>
  <si>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</si>
  <si>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</si>
  <si>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</si>
  <si>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</si>
  <si>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</si>
  <si>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</si>
  <si>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</si>
  <si>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</si>
  <si>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</si>
  <si>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</si>
  <si>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</si>
  <si>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</si>
  <si>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</si>
  <si>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</si>
  <si>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</si>
  <si>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</si>
  <si>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</si>
  <si>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</si>
  <si>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</si>
  <si>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</si>
  <si>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</si>
  <si>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</si>
  <si>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</si>
  <si>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</si>
  <si>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</si>
  <si>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</si>
  <si>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</si>
  <si>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</si>
  <si>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</si>
  <si>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</si>
  <si>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</si>
  <si>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</si>
  <si>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</si>
  <si>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</si>
  <si>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</si>
  <si>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</si>
  <si>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</si>
  <si>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</si>
  <si>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</si>
  <si>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</si>
  <si>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</si>
  <si>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</si>
  <si>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</si>
  <si>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</si>
  <si>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</si>
  <si>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</si>
  <si>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</si>
  <si>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</si>
  <si>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</si>
  <si>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</si>
  <si>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</si>
  <si>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</si>
  <si>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</si>
  <si>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</si>
  <si>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</si>
  <si>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</si>
  <si>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</si>
  <si>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</si>
  <si>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</si>
  <si>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</si>
  <si>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</si>
  <si>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</si>
  <si>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</si>
  <si>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</si>
  <si>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</si>
  <si>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</si>
  <si>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</si>
  <si>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</si>
  <si>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</si>
  <si>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</si>
  <si>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</si>
  <si>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</si>
  <si>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</si>
  <si>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</si>
  <si>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</si>
  <si>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</si>
  <si>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</si>
  <si>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</si>
  <si>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</si>
  <si>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</si>
  <si>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</si>
  <si>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</si>
  <si>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</si>
  <si>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</si>
  <si>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</si>
  <si>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</si>
  <si>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</si>
  <si>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</si>
  <si>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</si>
  <si>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</si>
  <si>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</si>
  <si>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</si>
  <si>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</si>
  <si>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</si>
  <si>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</si>
  <si>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</si>
  <si>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</si>
  <si>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</si>
  <si>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</si>
  <si>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</si>
  <si>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</si>
  <si>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</si>
  <si>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</si>
  <si>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</si>
  <si>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</si>
  <si>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</si>
  <si>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</si>
  <si>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</si>
  <si>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</si>
  <si>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</si>
  <si>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</si>
  <si>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</si>
  <si>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</si>
  <si>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</si>
  <si>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</si>
  <si>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</si>
  <si>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</si>
  <si>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</si>
  <si>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</si>
  <si>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</si>
  <si>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</si>
  <si>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</si>
  <si>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</si>
  <si>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</si>
  <si>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</si>
  <si>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</si>
  <si>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</si>
  <si>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</si>
  <si>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</si>
  <si>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</si>
  <si>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</si>
  <si>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</si>
  <si>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</si>
  <si>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</si>
  <si>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</si>
  <si>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</si>
  <si>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</si>
  <si>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</si>
  <si>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</si>
  <si>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</si>
  <si>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</si>
  <si>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</si>
  <si>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РФ по налогам и сборам №3 по Костромской области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</si>
  <si>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</si>
  <si>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</si>
  <si>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</si>
  <si>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</si>
  <si>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</si>
  <si>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</si>
  <si>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</si>
  <si>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</si>
  <si>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</si>
  <si>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</si>
  <si>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</si>
  <si>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</si>
  <si>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</si>
  <si>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</si>
  <si>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</si>
  <si>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</si>
  <si>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</si>
  <si>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</si>
  <si>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</si>
  <si>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</si>
  <si>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</si>
  <si>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</si>
  <si>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</si>
  <si>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</si>
  <si>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</si>
  <si>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</si>
  <si>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</si>
  <si>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 xml:space="preserve">Тереханов </t>
  </si>
  <si>
    <t>Никита</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</si>
  <si>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</si>
  <si>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</si>
  <si>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 xml:space="preserve">196643, г. Санкт-Петербург, п. Понтонный, ул. Фанерная, д. 5 литер А </t>
  </si>
  <si>
    <t xml:space="preserve">Секретарь </t>
  </si>
  <si>
    <t>49446-233-33</t>
  </si>
  <si>
    <t>×</t>
  </si>
  <si>
    <t>8.2</t>
  </si>
  <si>
    <t>Ответственный за предоставление информации</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</si>
  <si>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</si>
  <si>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</si>
  <si>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</si>
  <si>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</si>
  <si>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</si>
  <si>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</si>
  <si>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</si>
  <si>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</si>
  <si>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</si>
  <si>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</si>
  <si>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</si>
  <si>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</si>
  <si>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</si>
  <si>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</si>
  <si>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</si>
  <si>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</si>
  <si>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</si>
  <si>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</si>
  <si>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</si>
  <si>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</si>
  <si>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</si>
  <si>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</si>
  <si>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</si>
  <si>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</si>
  <si>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</si>
  <si>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</si>
  <si>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</si>
  <si>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</si>
  <si>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</si>
  <si>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</si>
  <si>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</si>
  <si>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</si>
  <si>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</si>
  <si>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</si>
  <si>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</si>
  <si>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</si>
  <si>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</si>
  <si>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</si>
  <si>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</si>
  <si>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</si>
  <si>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</si>
  <si>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</si>
  <si>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НАО СВЕЗА Мантурово</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</si>
  <si>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</si>
  <si>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</si>
  <si>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</si>
  <si>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</si>
  <si>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4189672</t>
  </si>
  <si>
    <t>n</t>
  </si>
  <si>
    <t>64235586; 64235587</t>
  </si>
  <si>
    <t>Добавить вид объекта</t>
  </si>
  <si>
    <t>Форма 2.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</si>
  <si>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</si>
  <si>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</si>
  <si>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</si>
  <si>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</si>
  <si>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</si>
  <si>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</si>
  <si>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</si>
  <si>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68</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</si>
  <si>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</si>
  <si>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</si>
  <si>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</si>
  <si>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</si>
  <si>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</si>
  <si>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</si>
  <si>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et_CHANGE_INFO</t>
  </si>
  <si>
    <t>et_Comm</t>
  </si>
  <si>
    <t>et_TERRITORY_AREA, 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</si>
  <si>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</si>
  <si>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</si>
  <si>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</si>
  <si>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</si>
  <si>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</si>
  <si>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</si>
  <si>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</si>
  <si>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</si>
  <si>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</si>
  <si>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</si>
  <si>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</si>
  <si>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</si>
  <si>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</si>
  <si>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</si>
  <si>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</si>
  <si>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</si>
  <si>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</si>
  <si>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</si>
  <si>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</si>
  <si>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</si>
  <si>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</si>
  <si>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</si>
  <si>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</si>
  <si>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NOTSHOW</t>
  </si>
  <si>
    <t>Территория оказания услуг</t>
  </si>
  <si>
    <t>Централизованная система</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</si>
  <si>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</si>
  <si>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</si>
  <si>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</si>
  <si>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отсутствует</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</si>
  <si>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</si>
  <si>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</si>
  <si>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</si>
  <si>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et_B_FHD20_1_HEAT</t>
  </si>
  <si>
    <t>et_B_FHD20_2, _3, _4</t>
  </si>
  <si>
    <t>Итого по поставщику, в том числе</t>
  </si>
  <si>
    <t>х</t>
  </si>
  <si>
    <t>1.1</t>
  </si>
  <si>
    <t>Добавить товар/услугу</t>
  </si>
  <si>
    <t>Добавить способ</t>
  </si>
  <si>
    <t>et_DIFFERENTIATION_TARIFF(_etc)</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</si>
  <si>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</si>
  <si>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</si>
  <si>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</si>
  <si>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</si>
  <si>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et_DIFFERENTIATION_TARIFF_NOT_HEAT(_etc)</t>
  </si>
  <si>
    <t>et_DIFFERENTIATION_TKO(_etc)</t>
  </si>
  <si>
    <t>Добавить класс ТКО</t>
  </si>
  <si>
    <t>Добавить вид ТКО</t>
  </si>
  <si>
    <t>Добавить технологическую особенность</t>
  </si>
  <si>
    <t>1.1.1</t>
  </si>
  <si>
    <t>Добавить описание формы публичного договора</t>
  </si>
  <si>
    <t>1.2</t>
  </si>
  <si>
    <t>1.2.1</t>
  </si>
  <si>
    <t>Добавить описание договора</t>
  </si>
  <si>
    <t>1.3</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</si>
  <si>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</si>
  <si>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</si>
  <si>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</si>
  <si>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2.0</t>
  </si>
  <si>
    <t>Добавить сведения</t>
  </si>
  <si>
    <t>Сведения об условиях договоров на оказание услуг по транспортированию твердых коммунальных отходов</t>
  </si>
  <si>
    <t>2.1</t>
  </si>
  <si>
    <t xml:space="preserve"> Форма договора на оказание услуг</t>
  </si>
  <si>
    <t>2.1.1</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</si>
  <si>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</si>
  <si>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</si>
  <si>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</si>
  <si>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</si>
  <si>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</si>
  <si>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</si>
  <si>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</si>
  <si>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</si>
  <si>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</si>
  <si>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</si>
  <si>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</si>
  <si>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</si>
  <si>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</si>
  <si>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</si>
  <si>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</si>
  <si>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</si>
  <si>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</si>
  <si>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</si>
  <si>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</si>
  <si>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</si>
  <si>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</si>
  <si>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</si>
  <si>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</si>
  <si>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</si>
  <si>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</si>
  <si>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</si>
  <si>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</si>
  <si>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</si>
  <si>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</si>
  <si>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</si>
  <si>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</si>
  <si>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</si>
  <si>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</si>
  <si>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</si>
  <si>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</si>
  <si>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</si>
  <si>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</si>
  <si>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</si>
  <si>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</si>
  <si>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</si>
  <si>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</si>
  <si>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</si>
  <si>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</si>
  <si>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</si>
  <si>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</si>
  <si>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</si>
  <si>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</si>
  <si>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</si>
  <si>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</si>
  <si>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</si>
  <si>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</si>
  <si>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&lt;1&gt;</t>
  </si>
  <si>
    <t>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</si>
  <si>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</si>
  <si>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t>
  </si>
  <si>
    <t>По этой форме раскрывается информация о расчетной величине тарифов в сфере теплоснабжения на товары (услуги) в случаях, указанных в частях 12.1 - 12.4 статьи 10 Федерального закона "О теплоснабжении"</t>
  </si>
  <si>
    <t>В случае представления регулируемой организацией по своей инициативе в исполнительный орган субъекта Российской Федерации в области государственного регулирования цен (тарифов) дополнительных документов и материалов к предложению об установлении цен (тарифов) в сфере теплоснабжения указанная в абзаце первом настоящего пункта информация в части, содержащейся в таких дополнительных документах и материалах, раскрывается регулируемой организацией в течение 7 дней со дня их представления</t>
  </si>
  <si>
    <t>Период действия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</si>
  <si>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</si>
  <si>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</si>
  <si>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</si>
  <si>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установлении цены (тарифа) в сфере теплоснабжения, реквизиты (дата и номер) решения документа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</si>
  <si>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а также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</si>
  <si>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</si>
  <si>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</si>
  <si>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</si>
  <si>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</si>
  <si>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</si>
  <si>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</si>
  <si>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</si>
  <si>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</si>
  <si>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</si>
  <si>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</si>
  <si>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</si>
  <si>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</si>
  <si>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</si>
  <si>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</si>
  <si>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</si>
  <si>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</si>
  <si>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</si>
  <si>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</si>
  <si>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</si>
  <si>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</si>
  <si>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</si>
  <si>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</si>
  <si>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</si>
  <si>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</si>
  <si>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</si>
  <si>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</si>
  <si>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</si>
  <si>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</si>
  <si>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</si>
  <si>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</si>
  <si>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</si>
  <si>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</si>
  <si>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</si>
  <si>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</si>
  <si>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При размещении информации по данной форме дополнительно указываются: наименование органа регулирования тарифов,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</si>
  <si>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 190-ФЗ.</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</si>
  <si>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</si>
  <si>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</si>
  <si>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</si>
  <si>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</si>
  <si>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</si>
  <si>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</si>
  <si>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</si>
  <si>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</si>
  <si>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</si>
  <si>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</si>
  <si>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</si>
  <si>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</si>
  <si>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</si>
  <si>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</si>
  <si>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</si>
  <si>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</si>
  <si>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</si>
  <si>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</si>
  <si>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</si>
  <si>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</si>
  <si>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</si>
  <si>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</si>
  <si>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</si>
  <si>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</si>
  <si>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</si>
  <si>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</si>
  <si>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</si>
  <si>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</si>
  <si>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</si>
  <si>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</si>
  <si>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</si>
  <si>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</si>
  <si>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</si>
  <si>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</si>
  <si>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</si>
  <si>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</si>
  <si>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</si>
  <si>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</si>
  <si>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</si>
  <si>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HEAT</t>
  </si>
  <si>
    <t>COLDVSNA/HOTVSNA</t>
  </si>
  <si>
    <t>VOTV</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</si>
  <si>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</si>
  <si>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</si>
  <si>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</si>
  <si>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</si>
  <si>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</si>
  <si>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</si>
  <si>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</si>
  <si>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</si>
  <si>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</si>
  <si>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</si>
  <si>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</si>
  <si>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</si>
  <si>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</si>
  <si>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</si>
  <si>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</si>
  <si>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</si>
  <si>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</si>
  <si>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</si>
  <si>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</si>
  <si>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</si>
  <si>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</si>
  <si>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</si>
  <si>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</si>
  <si>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</si>
  <si>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</si>
  <si>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</si>
  <si>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</si>
  <si>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</si>
  <si>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</si>
  <si>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</si>
  <si>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</si>
  <si>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</si>
  <si>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</si>
  <si>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Гкал/ч</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</si>
  <si>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</si>
  <si>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</si>
  <si>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</si>
  <si>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</si>
  <si>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</si>
  <si>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</si>
  <si>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</si>
  <si>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</si>
  <si>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</si>
  <si>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</si>
  <si>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</si>
  <si>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</si>
  <si>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</si>
  <si>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</si>
  <si>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</si>
  <si>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</si>
  <si>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</si>
  <si>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</si>
  <si>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</si>
  <si>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</si>
  <si>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</si>
  <si>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</si>
  <si>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</si>
  <si>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</si>
  <si>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</si>
  <si>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</si>
  <si>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</si>
  <si>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</si>
  <si>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</si>
  <si>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</si>
  <si>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</si>
  <si>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</si>
  <si>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</si>
  <si>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</si>
  <si>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</si>
  <si>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</si>
  <si>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</si>
  <si>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</si>
  <si>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</si>
  <si>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</si>
  <si>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</si>
  <si>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</si>
  <si>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</si>
  <si>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</si>
  <si>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</si>
  <si>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</si>
  <si>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</si>
  <si>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</si>
  <si>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</si>
  <si>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</si>
  <si>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</si>
  <si>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</si>
  <si>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</si>
  <si>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</si>
  <si>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</si>
  <si>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</si>
  <si>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</si>
  <si>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</si>
  <si>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</si>
  <si>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</si>
  <si>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</si>
  <si>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</si>
  <si>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</si>
  <si>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</si>
  <si>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</si>
  <si>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</si>
  <si>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</si>
  <si>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</si>
  <si>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</si>
  <si>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</si>
  <si>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</si>
  <si>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</si>
  <si>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</si>
  <si>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</si>
  <si>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</si>
  <si>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</si>
  <si>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</si>
  <si>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</si>
  <si>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</si>
  <si>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</si>
  <si>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</si>
  <si>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</si>
  <si>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</si>
  <si>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</si>
  <si>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</si>
  <si>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</si>
  <si>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</si>
  <si>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</si>
  <si>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</si>
  <si>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</si>
  <si>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</si>
  <si>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</si>
  <si>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</si>
  <si>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</si>
  <si>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</si>
  <si>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</si>
  <si>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</si>
  <si>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</si>
  <si>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</si>
  <si>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</si>
  <si>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</si>
  <si>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</si>
  <si>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</si>
  <si>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</si>
  <si>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</si>
  <si>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</si>
  <si>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</si>
  <si>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</si>
  <si>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</si>
  <si>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</si>
  <si>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</si>
  <si>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</si>
  <si>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</si>
  <si>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</si>
  <si>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</si>
  <si>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</si>
  <si>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</si>
  <si>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</si>
  <si>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</si>
  <si>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</si>
  <si>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</si>
  <si>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</si>
  <si>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</si>
  <si>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</si>
  <si>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</si>
  <si>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</si>
  <si>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</si>
  <si>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</si>
  <si>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</si>
  <si>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</si>
  <si>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</si>
  <si>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</si>
  <si>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</si>
  <si>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</si>
  <si>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</si>
  <si>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</si>
  <si>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</si>
  <si>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</si>
  <si>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</si>
  <si>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</si>
  <si>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</si>
  <si>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</si>
  <si>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</si>
  <si>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</si>
  <si>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</si>
  <si>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</si>
  <si>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</si>
  <si>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</si>
  <si>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</si>
  <si>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</si>
  <si>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</si>
  <si>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</si>
  <si>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</si>
  <si>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</si>
  <si>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</si>
  <si>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</si>
  <si>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</si>
  <si>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</si>
  <si>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</si>
  <si>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</si>
  <si>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</si>
  <si>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</si>
  <si>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</si>
  <si>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</si>
  <si>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</si>
  <si>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</si>
  <si>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</si>
  <si>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</si>
  <si>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</si>
  <si>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</si>
  <si>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</si>
  <si>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</si>
  <si>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</si>
  <si>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</si>
  <si>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</si>
  <si>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</si>
  <si>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</si>
  <si>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</si>
  <si>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</si>
  <si>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</si>
  <si>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</si>
  <si>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</si>
  <si>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</si>
  <si>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</si>
  <si>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</si>
  <si>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</si>
  <si>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</si>
  <si>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</si>
  <si>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</si>
  <si>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</si>
  <si>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</si>
  <si>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</si>
  <si>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</si>
  <si>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</si>
  <si>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</si>
  <si>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</si>
  <si>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</si>
  <si>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</si>
  <si>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</si>
  <si>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</si>
  <si>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</si>
  <si>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</si>
  <si>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</si>
  <si>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</si>
  <si>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</si>
  <si>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</si>
  <si>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</si>
  <si>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</si>
  <si>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</si>
  <si>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</si>
  <si>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</si>
  <si>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</si>
  <si>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</si>
  <si>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</si>
  <si>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</si>
  <si>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</si>
  <si>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тыс. Гкал</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</si>
  <si>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</si>
  <si>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</si>
  <si>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</si>
  <si>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</si>
  <si>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Еврейская автономная область</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</si>
  <si>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</si>
  <si>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</si>
  <si>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</si>
  <si>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</si>
  <si>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</si>
  <si>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</si>
  <si>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</si>
  <si>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</si>
  <si>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Забайкальский край</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</si>
  <si>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</si>
  <si>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</si>
  <si>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</si>
  <si>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</si>
  <si>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</si>
  <si>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</si>
  <si>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</si>
  <si>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</si>
  <si>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</si>
  <si>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</si>
  <si>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Ивановская область</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</si>
  <si>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</si>
  <si>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</si>
  <si>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</si>
  <si>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</si>
  <si>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</si>
  <si>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</si>
  <si>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</si>
  <si>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</si>
  <si>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</si>
  <si>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</si>
  <si>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</si>
  <si>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</si>
  <si>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</si>
  <si>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Иркутская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</si>
  <si>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</si>
  <si>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</si>
  <si>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</si>
  <si>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</si>
  <si>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</si>
  <si>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</si>
  <si>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</si>
  <si>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</si>
  <si>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</si>
  <si>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</si>
  <si>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</si>
  <si>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Кабардино-Балкарская республика</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</si>
  <si>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</si>
  <si>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</si>
  <si>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</si>
  <si>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</si>
  <si>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</si>
  <si>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</si>
  <si>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</si>
  <si>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</si>
  <si>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Калининградская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</si>
  <si>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</si>
  <si>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</si>
  <si>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</si>
  <si>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</si>
  <si>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</si>
  <si>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</si>
  <si>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</si>
  <si>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</si>
  <si>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</si>
  <si>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Калужская область</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</si>
  <si>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</si>
  <si>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</si>
  <si>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</si>
  <si>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</si>
  <si>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</si>
  <si>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Камчатский край</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</si>
  <si>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</si>
  <si>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</si>
  <si>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</si>
  <si>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</si>
  <si>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</si>
  <si>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</si>
  <si>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Карачаево-Черкесская республика</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</si>
  <si>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</si>
  <si>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</si>
  <si>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</si>
  <si>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</si>
  <si>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</si>
  <si>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</si>
  <si>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</si>
  <si>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Кемеровская область</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</si>
  <si>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</si>
  <si>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</si>
  <si>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</si>
  <si>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</si>
  <si>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</si>
  <si>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Кировская область</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</si>
  <si>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</si>
  <si>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</si>
  <si>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</si>
  <si>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</si>
  <si>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</si>
  <si>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</si>
  <si>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</si>
  <si>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Краснодарский край</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</si>
  <si>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</si>
  <si>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</si>
  <si>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</si>
  <si>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</si>
  <si>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</si>
  <si>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</si>
  <si>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Красноярский край</t>
  </si>
  <si>
    <t>Организация</t>
  </si>
  <si>
    <t>25.07.2023 22:51:32</t>
  </si>
  <si>
    <t>27</t>
  </si>
  <si>
    <t>Курганская область</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</si>
  <si>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</si>
  <si>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</si>
  <si>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Курская область</t>
  </si>
  <si>
    <t>29</t>
  </si>
  <si>
    <t>население</t>
  </si>
  <si>
    <t xml:space="preserve">  Иные бюджетные средства</t>
  </si>
  <si>
    <t>Ленинградская область</t>
  </si>
  <si>
    <t>Виды деятельности</t>
  </si>
  <si>
    <t>https://appsrv.regportal-tariff.ru/procwsxls/</t>
  </si>
  <si>
    <t>30</t>
  </si>
  <si>
    <t>Липецкая область</t>
  </si>
  <si>
    <t>31</t>
  </si>
  <si>
    <t>Магаданская область</t>
  </si>
  <si>
    <t>32</t>
  </si>
  <si>
    <t>Московская область</t>
  </si>
  <si>
    <t>33</t>
  </si>
  <si>
    <t>PT_SCHEME_LIST</t>
  </si>
  <si>
    <t xml:space="preserve">  Доход от взимания платы за нарушение нормативов по объему и (или) составу сточных вод</t>
  </si>
  <si>
    <t>Мурманская область</t>
  </si>
  <si>
    <t>TEMPLATE_SPHERE</t>
  </si>
  <si>
    <t>COLDVSNA</t>
  </si>
  <si>
    <t>34</t>
  </si>
  <si>
    <t xml:space="preserve">  Доход от взимания платы за негативное воздействие на работу централизованной системы водоотведения</t>
  </si>
  <si>
    <t>Ненецкий автономный округ</t>
  </si>
  <si>
    <t>теплоснабжения</t>
  </si>
  <si>
    <t>теплоснабжение</t>
  </si>
  <si>
    <t>35</t>
  </si>
  <si>
    <t>Нижегородская область</t>
  </si>
  <si>
    <t>холодного водоснабжения</t>
  </si>
  <si>
    <t>холодное водоснабжение</t>
  </si>
  <si>
    <t>36</t>
  </si>
  <si>
    <t>HEAT_FIN_SRC_VLD_LIST</t>
  </si>
  <si>
    <t>VSNA_FIN_SRC_VLD_LIST</t>
  </si>
  <si>
    <t>VOTV_FIN_SRC_VLD_LIST</t>
  </si>
  <si>
    <t>OTKO_FIN_SRC_VLD_LIST</t>
  </si>
  <si>
    <t>Новгородская область</t>
  </si>
  <si>
    <t>водоотведения</t>
  </si>
  <si>
    <t>водоотведение</t>
  </si>
  <si>
    <t>37</t>
  </si>
  <si>
    <t>Прибыль направляемая на инвестиции</t>
  </si>
  <si>
    <t>Нормативная прибыль</t>
  </si>
  <si>
    <t>Новосибирская область</t>
  </si>
  <si>
    <t>горячего водоснабжения</t>
  </si>
  <si>
    <t>HOTVSNA</t>
  </si>
  <si>
    <t>горячее водоснабжение</t>
  </si>
  <si>
    <t>38</t>
  </si>
  <si>
    <t>Амортизационные отчисления с выделением результатов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</si>
  <si>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</si>
  <si>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Амортизационные отчисления</t>
  </si>
  <si>
    <t>Омская область</t>
  </si>
  <si>
    <t>обращения с твердыми коммунальными отходами</t>
  </si>
  <si>
    <t>TKO</t>
  </si>
  <si>
    <t>39</t>
  </si>
  <si>
    <t>PT_TN_LIST</t>
  </si>
  <si>
    <t>Прочие амортизационные отчисления</t>
  </si>
  <si>
    <t>Амортизационные отчисления за исключением переоценки основных средств и нематериальных активов</t>
  </si>
  <si>
    <t>Кредиты</t>
  </si>
  <si>
    <t>Оренбургская область</t>
  </si>
  <si>
    <t>40</t>
  </si>
  <si>
    <t>Прочие собственные средства</t>
  </si>
  <si>
    <t>Амортизационные отчисления в результате переоценки основных средств и нематериальных активов</t>
  </si>
  <si>
    <t>Займы, предоставленные Фондом ЖКХ за счет средств ФНБ</t>
  </si>
  <si>
    <t>Орловская область</t>
  </si>
  <si>
    <t>41</t>
  </si>
  <si>
    <t>За счет платы за технологическое присоединение</t>
  </si>
  <si>
    <t>Прочие займы</t>
  </si>
  <si>
    <t>Пензенская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</si>
  <si>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</si>
  <si>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</si>
  <si>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</si>
  <si>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</si>
  <si>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</si>
  <si>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</si>
  <si>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Пермский край</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</si>
  <si>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</si>
  <si>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</si>
  <si>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</si>
  <si>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</si>
  <si>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</si>
  <si>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</si>
  <si>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</si>
  <si>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Средства, полученные за счет платы за подключение (технологическое присоединение)</t>
  </si>
  <si>
    <t>Бюджет субъекта РФ</t>
  </si>
  <si>
    <t>Приморский край</t>
  </si>
  <si>
    <t>44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</si>
  <si>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</si>
  <si>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Бюджет муниципального образования</t>
  </si>
  <si>
    <t>Псковская область</t>
  </si>
  <si>
    <t>Q</t>
  </si>
  <si>
    <t>45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</si>
  <si>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</si>
  <si>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Лизинг</t>
  </si>
  <si>
    <t>Республика Адыгея</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</si>
  <si>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</si>
  <si>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</si>
  <si>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</si>
  <si>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</si>
  <si>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</si>
  <si>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Прочие</t>
  </si>
  <si>
    <t>Республика Алтай</t>
  </si>
  <si>
    <t>TERMS</t>
  </si>
  <si>
    <t>T</t>
  </si>
  <si>
    <t>47</t>
  </si>
  <si>
    <t>Прочие привлеченные средства</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</si>
  <si>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</si>
  <si>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Республика Башкортостан</t>
  </si>
  <si>
    <t>INVEST</t>
  </si>
  <si>
    <t>I</t>
  </si>
  <si>
    <t>48</t>
  </si>
  <si>
    <t>Экономия средств, достигнутая регулируемой организацией в результате снижения расходов</t>
  </si>
  <si>
    <t>Республика Бурятия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</si>
  <si>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</si>
  <si>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</si>
  <si>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</si>
  <si>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</si>
  <si>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Дагестан</t>
  </si>
  <si>
    <t>PRICE</t>
  </si>
  <si>
    <t>P</t>
  </si>
  <si>
    <t>50</t>
  </si>
  <si>
    <t>Республика Ингушетия</t>
  </si>
  <si>
    <t>ROIV</t>
  </si>
  <si>
    <t>Показатели, подлежащие раскрытию органами регулирования</t>
  </si>
  <si>
    <t>51</t>
  </si>
  <si>
    <t>Республика Калмыкия</t>
  </si>
  <si>
    <t>52</t>
  </si>
  <si>
    <t>PT_NETS_LIST</t>
  </si>
  <si>
    <t>Республика Карелия</t>
  </si>
  <si>
    <t>53</t>
  </si>
  <si>
    <t>Республика Коми</t>
  </si>
  <si>
    <t>TERRITORY_ID</t>
  </si>
  <si>
    <t>начинать только с 2, остальное по умолчанию</t>
  </si>
  <si>
    <t>54</t>
  </si>
  <si>
    <t>Республика Крым</t>
  </si>
  <si>
    <t>DIFFERENTIATION_ID</t>
  </si>
  <si>
    <t>55</t>
  </si>
  <si>
    <t>Республика Марий Эл</t>
  </si>
  <si>
    <t>IP_ID</t>
  </si>
  <si>
    <t>56</t>
  </si>
  <si>
    <t>Республика Мордовия</t>
  </si>
  <si>
    <t>начинать только с 30, остальное по умолчанию</t>
  </si>
  <si>
    <t>57</t>
  </si>
  <si>
    <t>PT_DIAMETERS_LIST</t>
  </si>
  <si>
    <t>Республика Саха (Якутия)</t>
  </si>
  <si>
    <t>VDET_ID</t>
  </si>
  <si>
    <t>58</t>
  </si>
  <si>
    <t>Республика Северная Осетия-Алания</t>
  </si>
  <si>
    <t>NTAR_ID</t>
  </si>
  <si>
    <t>59</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</si>
  <si>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</si>
  <si>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Республика Татарстан</t>
  </si>
  <si>
    <t>Средства, полученные регулируемой организацией в виде платы за негативное воздействие на работу централизованной системы водоотведения</t>
  </si>
  <si>
    <t>Республика Тыва</t>
  </si>
  <si>
    <t>CS_ID</t>
  </si>
  <si>
    <t>Республика Хакасия</t>
  </si>
  <si>
    <t>IST_TE_ID</t>
  </si>
  <si>
    <t>Ростовская область</t>
  </si>
  <si>
    <t>Рязанская область</t>
  </si>
  <si>
    <t>PT_LOAD_LIST</t>
  </si>
  <si>
    <t>Самарская область</t>
  </si>
  <si>
    <t>Саратовская область</t>
  </si>
  <si>
    <t>HEAT_IP_EVENT_GROUP_LIST</t>
  </si>
  <si>
    <t>VSNA_IP_EVENT_GROUP_LIST</t>
  </si>
  <si>
    <t>VOTV_IP_EVENT_GROUP_LIST</t>
  </si>
  <si>
    <t>OTKO_IP_EVENT_GROUP_LIST</t>
  </si>
  <si>
    <t>Сахалинская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</si>
  <si>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</si>
  <si>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</si>
  <si>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</si>
  <si>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</si>
  <si>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Свердловская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</si>
  <si>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</si>
  <si>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</si>
  <si>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</si>
  <si>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</si>
  <si>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Смоленская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</si>
  <si>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</si>
  <si>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</si>
  <si>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</si>
  <si>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</si>
  <si>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Ставропольский край</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</si>
  <si>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</si>
  <si>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</si>
  <si>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Тамбовская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</si>
  <si>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</si>
  <si>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</si>
  <si>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</si>
  <si>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</si>
  <si>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Тверская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</si>
  <si>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</si>
  <si>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</si>
  <si>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</si>
  <si>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</si>
  <si>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Томская область</t>
  </si>
  <si>
    <t>PT_DIAMETERS_2_LIST</t>
  </si>
  <si>
    <t>Мероприятия по подготовке проектной документации</t>
  </si>
  <si>
    <t>Тульская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</si>
  <si>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</si>
  <si>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</si>
  <si>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</si>
  <si>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Тюменская область</t>
  </si>
  <si>
    <t>Удмуртская республика</t>
  </si>
  <si>
    <t>Ульяновская область</t>
  </si>
  <si>
    <t>HEAT_IP_EVENT_SUBGROUP_1_LIST</t>
  </si>
  <si>
    <t>VSNA_IP_EVENT_SUBGROUP_1_LIST</t>
  </si>
  <si>
    <t>VOTV_IP_EVENT_SUBGROUP_1_LIST</t>
  </si>
  <si>
    <t>Хабаровский край</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</si>
  <si>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</si>
  <si>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</si>
  <si>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</si>
  <si>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Ханты-Мансийский автономный округ</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</si>
  <si>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</si>
  <si>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</si>
  <si>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</si>
  <si>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Челябинская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</si>
  <si>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</si>
  <si>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</si>
  <si>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</si>
  <si>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Чеченская республика</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</si>
  <si>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</si>
  <si>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</si>
  <si>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</si>
  <si>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Чувашская республика</t>
  </si>
  <si>
    <t>TYPE_TKO_LIST</t>
  </si>
  <si>
    <t>Чукотский автономный округ</t>
  </si>
  <si>
    <t>несортированные</t>
  </si>
  <si>
    <t>Ямало-Ненецкий автономный округ</t>
  </si>
  <si>
    <t>сортированные</t>
  </si>
  <si>
    <t>HEAT_IP_EVENT_SUBGROUP_3_LIST</t>
  </si>
  <si>
    <t>VSNA_IP_EVENT_SUBGROUP_3_LIST</t>
  </si>
  <si>
    <t>VOTV_IP_EVENT_SUBGROUP_3_LIST</t>
  </si>
  <si>
    <t>Ярославская область</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</si>
  <si>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</si>
  <si>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</si>
  <si>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</si>
  <si>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</si>
  <si>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</si>
  <si>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</si>
  <si>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</si>
  <si>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CLASS_TKO_LIST</t>
  </si>
  <si>
    <t>II</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</si>
  <si>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</si>
  <si>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</si>
  <si>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</si>
  <si>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</si>
  <si>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</si>
  <si>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</si>
  <si>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</si>
  <si>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</si>
  <si>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</si>
  <si>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</si>
  <si>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</si>
  <si>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</si>
  <si>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</si>
  <si>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</si>
  <si>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</si>
  <si>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</si>
  <si>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</si>
  <si>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</si>
  <si>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</si>
  <si>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</si>
  <si>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</si>
  <si>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</si>
  <si>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</si>
  <si>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</si>
  <si>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</si>
  <si>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</si>
  <si>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</si>
  <si>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</si>
  <si>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</si>
  <si>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</si>
  <si>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</si>
  <si>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</si>
  <si>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</si>
  <si>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</si>
  <si>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</si>
  <si>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</si>
  <si>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</si>
  <si>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</si>
  <si>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</si>
  <si>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руб.</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</si>
  <si>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</si>
  <si>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</si>
  <si>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</si>
  <si>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</si>
  <si>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</si>
  <si>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</si>
  <si>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</si>
  <si>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</si>
  <si>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</si>
  <si>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</si>
  <si>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</si>
  <si>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</si>
  <si>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</si>
  <si>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</si>
  <si>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</si>
  <si>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t>
  </si>
  <si>
    <t>Форма 1. Информация об организации (общая информация)</t>
  </si>
  <si>
    <t>Договоры</t>
  </si>
  <si>
    <t>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t>
  </si>
  <si>
    <t>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t>
  </si>
  <si>
    <t>Показатели ФХД</t>
  </si>
  <si>
    <t>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t>
  </si>
  <si>
    <t>Показатели ФХД &gt;20%</t>
  </si>
  <si>
    <t>Форма 11. Информация о расходах на капитальный и текущий ремонт основных средств</t>
  </si>
  <si>
    <t>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</si>
  <si>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</si>
  <si>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</si>
  <si>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</si>
  <si>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</si>
  <si>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</si>
  <si>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</si>
  <si>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Информация_x000D_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</si>
  <si>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</si>
  <si>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</si>
  <si>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</si>
  <si>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</si>
  <si>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</si>
  <si>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</si>
  <si>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</si>
  <si>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</si>
  <si>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</si>
  <si>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</si>
  <si>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</si>
  <si>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</si>
  <si>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</si>
  <si>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t>
  </si>
  <si>
    <t>PRICE_x000D_
_x000D_
ХВС. Т-подкл</t>
  </si>
  <si>
    <t>Форма 5. Информация о величинах тарифов на подключение (технологическое присоединение) к централизованной системе холодного водоснабжения &lt;1&gt;</t>
  </si>
  <si>
    <t>REQUEST_x000D_
_x000D_
ХВС. Т-пит_x000D_
ХВС. Т-тех_x000D_
ХВС. Т-транс_x000D_
ХВС. Т-подвоз</t>
  </si>
  <si>
    <t>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t>
  </si>
  <si>
    <t>REQUEST_x000D_
_x000D_
ХВС. Т-подкл</t>
  </si>
  <si>
    <t>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t>
  </si>
  <si>
    <t>PRICE_x000D_
_x000D_
ГВС. Т-гор.вода_x000D_
ГВС. Т-транс</t>
  </si>
  <si>
    <t>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t>
  </si>
  <si>
    <t>PRICE_x000D_
_x000D_
ГВС. Т-подкл</t>
  </si>
  <si>
    <t>Форма 5. Информация об установленных тарифах на подключение (технологическое присоединение) к централизованной системе горячего водоснабжения &lt;1&gt;</t>
  </si>
  <si>
    <t>REQUEST_x000D_
_x000D_
ГВС. Т-гор.вода_x000D_
ГВС. Т-транс</t>
  </si>
  <si>
    <t>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t>
  </si>
  <si>
    <t>REQUEST_x000D_
_x000D_
ГВС. Т-подкл</t>
  </si>
  <si>
    <t>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t>
  </si>
  <si>
    <t>PRICE_x000D_
_x000D_
ВО. Т-во_x000D_
ВО. Т-транс</t>
  </si>
  <si>
    <t>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t>
  </si>
  <si>
    <t>PRICE_x000D_
_x000D_
ВО. Т-подкл</t>
  </si>
  <si>
    <t>Форма 4.  Информация об установленных тарифах на подключение (технологическое присоединение) к централизованной системе водоотведения &lt;1&gt;</t>
  </si>
  <si>
    <t>REQUEST_x000D_
_x000D_
ВО. Т-во_x000D_
ВО. Т-транс</t>
  </si>
  <si>
    <t>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t>
  </si>
  <si>
    <t>REQUEST_x000D_
_x000D_
ВО. Т-подкл</t>
  </si>
  <si>
    <t>Форма 17. Информация о предложении расчетной величины тарифов на подключение к централизованной системе водоотведения &lt;1&gt;</t>
  </si>
  <si>
    <t>Сведения о закупках</t>
  </si>
  <si>
    <t>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</si>
  <si>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t>
  </si>
  <si>
    <t>Порядок ТП</t>
  </si>
  <si>
    <t>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</si>
  <si>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</si>
  <si>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</si>
  <si>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</si>
  <si>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</si>
  <si>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</si>
  <si>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</si>
  <si>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</si>
  <si>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</si>
  <si>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</si>
  <si>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</si>
  <si>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</si>
  <si>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</si>
  <si>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</si>
  <si>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</si>
  <si>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</si>
  <si>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</si>
  <si>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</si>
  <si>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</si>
  <si>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</si>
  <si>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</si>
  <si>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</si>
  <si>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</si>
  <si>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</si>
  <si>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</si>
  <si>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</si>
  <si>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</si>
  <si>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</si>
  <si>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</si>
  <si>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</si>
  <si>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</si>
  <si>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</si>
  <si>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</si>
  <si>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</si>
  <si>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</si>
  <si>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</si>
  <si>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</si>
  <si>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</si>
  <si>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</si>
  <si>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</si>
  <si>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</si>
  <si>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</si>
  <si>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</si>
  <si>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</si>
  <si>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</si>
  <si>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</si>
  <si>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</si>
  <si>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</si>
  <si>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</si>
  <si>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2.4</t>
  </si>
  <si>
    <t>Расходы на холодную воду, получаемую с применением собственных источников водозабора (скважин) и используемую для горячего водоснабжения</t>
  </si>
  <si>
    <t>2.5</t>
  </si>
  <si>
    <t>Расходы на приобретаемую электрическую энергию (мощность), используемую в технологическом процессе</t>
  </si>
  <si>
    <t>6.1</t>
  </si>
  <si>
    <t>2.3.1</t>
  </si>
  <si>
    <t>2.2.1</t>
  </si>
  <si>
    <t>2.5.1</t>
  </si>
  <si>
    <t>Средневзвешенная стоимость 1 кВт.ч (с учетом мощности)</t>
  </si>
  <si>
    <t>6.2</t>
  </si>
  <si>
    <t>2.3.2</t>
  </si>
  <si>
    <t>2.2.2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</si>
  <si>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</si>
  <si>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</si>
  <si>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</si>
  <si>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</si>
  <si>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2.6</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</si>
  <si>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</si>
  <si>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</si>
  <si>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</si>
  <si>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</si>
  <si>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2.4.1</t>
  </si>
  <si>
    <t>Расходы на оплату труда основного производственного персонала</t>
  </si>
  <si>
    <t>9.2</t>
  </si>
  <si>
    <t>2.6.2</t>
  </si>
  <si>
    <t>2.4.2</t>
  </si>
  <si>
    <t>Страховые взносы на обязательное социальное страхование, выплачиваемые из фонда оплаты труда основного производственного персонала</t>
  </si>
  <si>
    <t>2.7</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</si>
  <si>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</si>
  <si>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</si>
  <si>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</si>
  <si>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</si>
  <si>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</si>
  <si>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</si>
  <si>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</si>
  <si>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</si>
  <si>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</si>
  <si>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</si>
  <si>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2.8</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</si>
  <si>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</si>
  <si>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</si>
  <si>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</si>
  <si>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</si>
  <si>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</si>
  <si>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</si>
  <si>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</si>
  <si>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2.9</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</si>
  <si>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</si>
  <si>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</si>
  <si>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</si>
  <si>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</si>
  <si>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</si>
  <si>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</si>
  <si>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</si>
  <si>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</si>
  <si>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</si>
  <si>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</si>
  <si>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</si>
  <si>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</si>
  <si>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</si>
  <si>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</si>
  <si>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</si>
  <si>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</si>
  <si>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</si>
  <si>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</si>
  <si>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</si>
  <si>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</si>
  <si>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</si>
  <si>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</si>
  <si>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</si>
  <si>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</si>
  <si>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</si>
  <si>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</si>
  <si>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</si>
  <si>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</si>
  <si>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</si>
  <si>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</si>
  <si>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</si>
  <si>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</si>
  <si>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</si>
  <si>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</si>
  <si>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</si>
  <si>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</si>
  <si>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</si>
  <si>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</si>
  <si>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</si>
  <si>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</si>
  <si>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</si>
  <si>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</si>
  <si>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</si>
  <si>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</si>
  <si>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</si>
  <si>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</si>
  <si>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</si>
  <si>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</si>
  <si>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</si>
  <si>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</si>
  <si>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</si>
  <si>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Указывается общая сумма чистой прибыли, полученной от регулируемого вида деятельности.</t>
  </si>
  <si>
    <t>4.1</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</si>
  <si>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</si>
  <si>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в том числе:</t>
  </si>
  <si>
    <t>Указывается общее изменение стоимости основных фондов.</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</si>
  <si>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</si>
  <si>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</si>
  <si>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</si>
  <si>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5.1.1</t>
  </si>
  <si>
    <t>4.1.1</t>
  </si>
  <si>
    <t>Изменения стоимости основных фондов за счет их ввода в эксплуатацию</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</si>
  <si>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</si>
  <si>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</si>
  <si>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5.1.2</t>
  </si>
  <si>
    <t>4.1.2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</si>
  <si>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</si>
  <si>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</si>
  <si>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</si>
  <si>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4.2</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</si>
  <si>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</si>
  <si>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</si>
  <si>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</si>
  <si>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</si>
  <si>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</si>
  <si>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</si>
  <si>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</si>
  <si>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</si>
  <si>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</si>
  <si>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</si>
  <si>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</si>
  <si>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</si>
  <si>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</si>
  <si>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</si>
  <si>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</si>
  <si>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</si>
  <si>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</si>
  <si>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</si>
  <si>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</si>
  <si>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</si>
  <si>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</si>
  <si>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</si>
  <si>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</si>
  <si>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</si>
  <si>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</si>
  <si>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</si>
  <si>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</si>
  <si>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</si>
  <si>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</si>
  <si>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</si>
  <si>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</si>
  <si>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</si>
  <si>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</si>
  <si>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</si>
  <si>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</si>
  <si>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</si>
  <si>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</si>
  <si>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</si>
  <si>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</si>
  <si>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</si>
  <si>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</si>
  <si>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</si>
  <si>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</si>
  <si>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</si>
  <si>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</si>
  <si>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</si>
  <si>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</si>
  <si>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</si>
  <si>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</si>
  <si>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</si>
  <si>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</si>
  <si>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</si>
  <si>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</si>
  <si>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</si>
  <si>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</si>
  <si>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</si>
  <si>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</si>
  <si>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</si>
  <si>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</si>
  <si>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</si>
  <si>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</si>
  <si>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</si>
  <si>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</si>
  <si>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</si>
  <si>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</si>
  <si>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</si>
  <si>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</si>
  <si>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с</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</si>
  <si>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</si>
  <si>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</si>
  <si>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</si>
  <si>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</si>
  <si>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</si>
  <si>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</si>
  <si>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</si>
  <si>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</si>
  <si>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</si>
  <si>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</si>
  <si>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</si>
  <si>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</si>
  <si>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</si>
  <si>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</si>
  <si>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</si>
  <si>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</si>
  <si>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</si>
  <si>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</si>
  <si>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</si>
  <si>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период</t>
  </si>
  <si>
    <t>Добавить источник тепловой энергии</t>
  </si>
  <si>
    <t>Добавить наименование системы теплоснабжения</t>
  </si>
  <si>
    <t>pt_vtar_3</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</si>
  <si>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</si>
  <si>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</si>
  <si>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</si>
  <si>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</si>
  <si>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</si>
  <si>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</si>
  <si>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</si>
  <si>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</si>
  <si>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</si>
  <si>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</si>
  <si>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</si>
  <si>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</si>
  <si>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</si>
  <si>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</si>
  <si>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</si>
  <si>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</si>
  <si>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</si>
  <si>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</si>
  <si>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</si>
  <si>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</si>
  <si>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</si>
  <si>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</si>
  <si>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</si>
  <si>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</si>
  <si>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</si>
  <si>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</si>
  <si>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</si>
  <si>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</si>
  <si>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</si>
  <si>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</si>
  <si>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</si>
  <si>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</si>
  <si>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</si>
  <si>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</si>
  <si>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</si>
  <si>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5.3.1</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</si>
  <si>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</si>
  <si>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</si>
  <si>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Указываются сведения о закупках, сумма стоимости приобретения товаров и услуг по которым превышает 20% суммы от плановой НВВ на очередной период регулирования.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</si>
  <si>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</si>
  <si>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Единица измерения</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</si>
  <si>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</si>
  <si>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</si>
  <si>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</si>
  <si>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</si>
  <si>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</si>
  <si>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</si>
  <si>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</si>
  <si>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</si>
  <si>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</si>
  <si>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строках 4.1 – 4.3 указывается в случае, если организация имеет статус единой теплоснабжающей организации.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</si>
  <si>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</si>
  <si>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</si>
  <si>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</si>
  <si>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</si>
  <si>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4.3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</si>
  <si>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</si>
  <si>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Доля числа исполненных в срок договоров о подключении</t>
  </si>
  <si>
    <t>%</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</si>
  <si>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</si>
  <si>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</si>
  <si>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</si>
  <si>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</si>
  <si>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ед</t>
  </si>
  <si>
    <t>5.0</t>
  </si>
  <si>
    <t>Добавить систему</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</si>
  <si>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</si>
  <si>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</si>
  <si>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</si>
  <si>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</si>
  <si>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</si>
  <si>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</si>
  <si>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</si>
  <si>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</si>
  <si>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</si>
  <si>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</si>
  <si>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</si>
  <si>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</si>
  <si>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</si>
  <si>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</si>
  <si>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</si>
  <si>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Форма 13.1. Информация о выводе объектов теплоснабжения из эксплуатации и основаниях ограничения, прекращения подачи тепловой энергии потребителям</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</si>
  <si>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</si>
  <si>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</si>
  <si>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</si>
  <si>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</si>
  <si>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</si>
  <si>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</si>
  <si>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</si>
  <si>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</si>
  <si>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</si>
  <si>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</si>
  <si>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</si>
  <si>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</si>
  <si>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</si>
  <si>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Период действия тарифов</t>
  </si>
  <si>
    <t>по</t>
  </si>
  <si>
    <t>p1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</si>
  <si>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</si>
  <si>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</si>
  <si>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</si>
  <si>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</si>
  <si>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</si>
  <si>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</si>
  <si>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</si>
  <si>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</si>
  <si>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</si>
  <si>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</si>
  <si>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</si>
  <si>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</si>
  <si>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</si>
  <si>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</si>
  <si>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</si>
  <si>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</si>
  <si>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</si>
  <si>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</si>
  <si>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</si>
  <si>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</si>
  <si>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</si>
  <si>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</si>
  <si>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</si>
  <si>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</si>
  <si>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</si>
  <si>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</si>
  <si>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</si>
  <si>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</si>
  <si>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</si>
  <si>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</si>
  <si>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</si>
  <si>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</si>
  <si>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</si>
  <si>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</si>
  <si>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</si>
  <si>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</si>
  <si>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</si>
  <si>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</si>
  <si>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При размещении информации по данной форме дополнительно указываются сведения: наименование органа регулирования тарифов, принявшего решение об утверждении установлении тарифа, реквизиты (дата и номер) решения документа об утверждении установлении тарифа, источник официального опубликования решения об установлении тарифа.</t>
  </si>
  <si>
    <t>При размещении информации по данной форме дополнительно указывается дата подачи заявления об утверждении тарифа и его номер.</t>
  </si>
  <si>
    <t>vt</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</si>
  <si>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</si>
  <si>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</si>
  <si>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</si>
  <si>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</si>
  <si>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</si>
  <si>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</si>
  <si>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</si>
  <si>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</si>
  <si>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</si>
  <si>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Указывается установленная тепловая мощность для источника тепловой энергии.</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</si>
  <si>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</si>
  <si>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</si>
  <si>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</si>
  <si>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</si>
  <si>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</si>
  <si>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p</t>
  </si>
  <si>
    <t>HEAT_P1</t>
  </si>
  <si>
    <t>Добавить вид топлива</t>
  </si>
  <si>
    <t>HOTVSNA_P1</t>
  </si>
  <si>
    <t>тыс. кВт·ч</t>
  </si>
  <si>
    <t>HEAT_P6</t>
  </si>
  <si>
    <t>NOT_HOTVSNA</t>
  </si>
  <si>
    <t>NOT_HEAT_P1</t>
  </si>
  <si>
    <t>Добавить прочие расходы</t>
  </si>
  <si>
    <t>HEAT_P2</t>
  </si>
  <si>
    <t>NOT_HEAT_P2</t>
  </si>
  <si>
    <t>COLDVSNA_P1</t>
  </si>
  <si>
    <t>тыс. куб. м</t>
  </si>
  <si>
    <t>HOTVSNA_P2</t>
  </si>
  <si>
    <t>VOTV_P1</t>
  </si>
  <si>
    <t>HEAT_P3</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</si>
  <si>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</si>
  <si>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</si>
  <si>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</si>
  <si>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</si>
  <si>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</si>
  <si>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</si>
  <si>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</si>
  <si>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</si>
  <si>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</si>
  <si>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</si>
  <si>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</si>
  <si>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</si>
  <si>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</si>
  <si>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</si>
  <si>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</si>
  <si>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</si>
  <si>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</si>
  <si>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</si>
  <si>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</si>
  <si>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</si>
  <si>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</si>
  <si>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</si>
  <si>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</si>
  <si>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6. Информация об основных показателях финансово-хозяйственной деятельности организации _x000D_
в части регулируемых видов деятельности за отчетный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</si>
  <si>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</si>
  <si>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</si>
  <si>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</si>
  <si>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</si>
  <si>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</si>
  <si>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производственные расходы, в том числе:</t>
  </si>
  <si>
    <t>Указывается общая сумма производственных расходов.</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</si>
  <si>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</si>
  <si>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</si>
  <si>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</si>
  <si>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</si>
  <si>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</si>
  <si>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</si>
  <si>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расходы на текущий ремонт</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</si>
  <si>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</si>
  <si>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</si>
  <si>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</si>
  <si>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расходы на оплату труда</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</si>
  <si>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</si>
  <si>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</si>
  <si>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</si>
  <si>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расходы на амортизацию основных средств</t>
  </si>
  <si>
    <t>расходы на амортизацию нематериальных активов</t>
  </si>
  <si>
    <t>расходы на арендную плату</t>
  </si>
  <si>
    <t>расходы на лизинговые платежи</t>
  </si>
  <si>
    <t xml:space="preserve"> расходы на концессионную плату</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</si>
  <si>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</si>
  <si>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</si>
  <si>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</si>
  <si>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</si>
  <si>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</si>
  <si>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</si>
  <si>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</si>
  <si>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</si>
  <si>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</si>
  <si>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</si>
  <si>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</si>
  <si>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</si>
  <si>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</si>
  <si>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</si>
  <si>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</si>
  <si>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</si>
  <si>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</si>
  <si>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</si>
  <si>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</si>
  <si>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</si>
  <si>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</si>
  <si>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</si>
  <si>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</si>
  <si>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7. Информация об основных показателях финансово-хозяйственной деятельности организации в отношении деятельности по транспортированию твёрдых коммунальных отходов за отчетный год &lt;1&gt;</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</si>
  <si>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</si>
  <si>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</si>
  <si>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</si>
  <si>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</si>
  <si>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</si>
  <si>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</si>
  <si>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</si>
  <si>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</si>
  <si>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</si>
  <si>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</si>
  <si>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</si>
  <si>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</si>
  <si>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</si>
  <si>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</si>
  <si>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</si>
  <si>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</si>
  <si>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</si>
  <si>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</si>
  <si>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</si>
  <si>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</si>
  <si>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</si>
  <si>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</si>
  <si>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</si>
  <si>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</si>
  <si>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</si>
  <si>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</si>
  <si>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</si>
  <si>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</si>
  <si>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</si>
  <si>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</si>
  <si>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</si>
  <si>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</si>
  <si>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</si>
  <si>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</si>
  <si>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</si>
  <si>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</si>
  <si>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</si>
  <si>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</si>
  <si>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</si>
  <si>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</si>
  <si>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</si>
  <si>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</si>
  <si>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</si>
  <si>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</si>
  <si>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</si>
  <si>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</si>
  <si>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</si>
  <si>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</si>
  <si>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</si>
  <si>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</si>
  <si>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</si>
  <si>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</si>
  <si>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</si>
  <si>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</si>
  <si>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</si>
  <si>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</si>
  <si>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</si>
  <si>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</si>
  <si>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</si>
  <si>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</si>
  <si>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</si>
  <si>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</si>
  <si>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</si>
  <si>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</si>
  <si>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</si>
  <si>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</si>
  <si>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</si>
  <si>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</si>
  <si>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</si>
  <si>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</si>
  <si>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</si>
  <si>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</si>
  <si>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</si>
  <si>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</si>
  <si>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</si>
  <si>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</si>
  <si>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</si>
  <si>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</si>
  <si>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</si>
  <si>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</si>
  <si>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</si>
  <si>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</si>
  <si>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</si>
  <si>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</si>
  <si>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</si>
  <si>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</si>
  <si>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</si>
  <si>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</si>
  <si>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</si>
  <si>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</si>
  <si>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</si>
  <si>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</si>
  <si>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</si>
  <si>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</si>
  <si>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</si>
  <si>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</si>
  <si>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</si>
  <si>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</si>
  <si>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</si>
  <si>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</si>
  <si>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</si>
  <si>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</si>
  <si>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</si>
  <si>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</si>
  <si>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</si>
  <si>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</si>
  <si>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</si>
  <si>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</si>
  <si>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</si>
  <si>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</si>
  <si>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</si>
  <si>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</si>
  <si>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</si>
  <si>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</si>
  <si>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</si>
  <si>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</si>
  <si>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</si>
  <si>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</si>
  <si>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</si>
  <si>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</si>
  <si>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</si>
  <si>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</si>
  <si>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</si>
  <si>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</si>
  <si>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</si>
  <si>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</si>
  <si>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</si>
  <si>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</si>
  <si>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</si>
  <si>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</si>
  <si>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</si>
  <si>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</si>
  <si>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</si>
  <si>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</si>
  <si>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</si>
  <si>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</si>
  <si>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</si>
  <si>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Информация об инвестиционных программах регулируемой организации и отчетах об их исполнении</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</si>
  <si>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</si>
  <si>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</si>
  <si>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</si>
  <si>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</si>
  <si>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</si>
  <si>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</si>
  <si>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</si>
  <si>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</si>
  <si>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</si>
  <si>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</si>
  <si>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</si>
  <si>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</si>
  <si>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</si>
  <si>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</si>
  <si>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</si>
  <si>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</si>
  <si>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</si>
  <si>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</si>
  <si>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</si>
  <si>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</si>
  <si>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</si>
  <si>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</si>
  <si>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</si>
  <si>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</si>
  <si>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</si>
  <si>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</si>
  <si>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</si>
  <si>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</si>
  <si>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</si>
  <si>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</si>
  <si>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</si>
  <si>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</si>
  <si>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</si>
  <si>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</si>
  <si>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</si>
  <si>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</si>
  <si>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</si>
  <si>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</si>
  <si>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</si>
  <si>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</si>
  <si>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</si>
  <si>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</si>
  <si>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</si>
  <si>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</si>
  <si>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</si>
  <si>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</si>
  <si>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</si>
  <si>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</si>
  <si>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</si>
  <si>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</si>
  <si>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</si>
  <si>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</si>
  <si>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Финансовый план</t>
  </si>
  <si>
    <t>Источники финансирования</t>
  </si>
  <si>
    <t>Объем фактического выполнения за счет источников финансирования (тыс. руб. без НДС)</t>
  </si>
  <si>
    <t>Всего</t>
  </si>
  <si>
    <t>Расходы на мероприятия инвестиционной программы</t>
  </si>
  <si>
    <t>Собственные средства</t>
  </si>
  <si>
    <t>1.4</t>
  </si>
  <si>
    <t>1.5</t>
  </si>
  <si>
    <t>1.6</t>
  </si>
  <si>
    <t>1.7</t>
  </si>
  <si>
    <t>1.8</t>
  </si>
  <si>
    <t>1.9</t>
  </si>
  <si>
    <t>1.10</t>
  </si>
  <si>
    <t>1.11</t>
  </si>
  <si>
    <t>1.12</t>
  </si>
  <si>
    <t>Привлеченные средства</t>
  </si>
  <si>
    <t>Займы</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</si>
  <si>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</si>
  <si>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</si>
  <si>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</si>
  <si>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</si>
  <si>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</si>
  <si>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</si>
  <si>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</si>
  <si>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Финансируемые за счет нормативной прибыли, учитываемой в необходимой валовой выручке</t>
  </si>
  <si>
    <t>1.1.2</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</si>
  <si>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</si>
  <si>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</si>
  <si>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</si>
  <si>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</si>
  <si>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</si>
  <si>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</si>
  <si>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</si>
  <si>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</si>
  <si>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</si>
  <si>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</si>
  <si>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</si>
  <si>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</si>
  <si>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</si>
  <si>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</si>
  <si>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</si>
  <si>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</si>
  <si>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</si>
  <si>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</si>
  <si>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</si>
  <si>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</si>
  <si>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</si>
  <si>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</si>
  <si>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</si>
  <si>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</si>
  <si>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</si>
  <si>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</si>
  <si>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</si>
  <si>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</si>
  <si>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</si>
  <si>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</si>
  <si>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</si>
  <si>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</si>
  <si>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</si>
  <si>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</si>
  <si>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</si>
  <si>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</si>
  <si>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</si>
  <si>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</si>
  <si>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</si>
  <si>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</si>
  <si>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</si>
  <si>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</si>
  <si>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</si>
  <si>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</si>
  <si>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</si>
  <si>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</si>
  <si>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</si>
  <si>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</si>
  <si>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</si>
  <si>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</si>
  <si>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</si>
  <si>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</si>
  <si>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</si>
  <si>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</si>
  <si>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</si>
  <si>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</si>
  <si>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</si>
  <si>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</si>
  <si>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</si>
  <si>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</si>
  <si>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</si>
  <si>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</si>
  <si>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pt_ist_te_16</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</si>
  <si>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</si>
  <si>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</si>
  <si>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</si>
  <si>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</si>
  <si>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</si>
  <si>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Для каждого вида тарифа в сфере водоотведения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</si>
  <si>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водоотведения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</si>
  <si>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</si>
  <si>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</si>
  <si>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</si>
  <si>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</si>
  <si>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</si>
  <si>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</si>
  <si>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</si>
  <si>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</si>
  <si>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</si>
  <si>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</si>
  <si>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</si>
  <si>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</si>
  <si>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</si>
  <si>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</si>
  <si>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</si>
  <si>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</si>
  <si>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</si>
  <si>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</si>
  <si>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</si>
  <si>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</si>
  <si>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</si>
  <si>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</si>
  <si>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</si>
  <si>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</si>
  <si>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</si>
  <si>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</si>
  <si>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</si>
  <si>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</si>
  <si>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</si>
  <si>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</si>
  <si>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</si>
  <si>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</si>
  <si>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</si>
  <si>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</si>
  <si>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</si>
  <si>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</si>
  <si>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</si>
  <si>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</si>
  <si>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</si>
  <si>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</si>
  <si>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</si>
  <si>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</si>
  <si>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</si>
  <si>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</si>
  <si>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</si>
  <si>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</si>
  <si>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</si>
  <si>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</si>
  <si>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</si>
  <si>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</si>
  <si>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</si>
  <si>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</si>
  <si>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</si>
  <si>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</si>
  <si>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</si>
  <si>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</si>
  <si>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</si>
  <si>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</si>
  <si>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</si>
  <si>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</si>
  <si>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</si>
  <si>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</si>
  <si>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</si>
  <si>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</si>
  <si>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</si>
  <si>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</si>
  <si>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</si>
  <si>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</si>
  <si>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</si>
  <si>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</si>
  <si>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</si>
  <si>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</si>
  <si>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</si>
  <si>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</si>
  <si>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</si>
  <si>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</si>
  <si>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</si>
  <si>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</si>
  <si>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</si>
  <si>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</si>
  <si>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</si>
  <si>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</si>
  <si>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</si>
  <si>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</si>
  <si>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</si>
  <si>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</si>
  <si>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</si>
  <si>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</si>
  <si>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</si>
  <si>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</si>
  <si>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</si>
  <si>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</si>
  <si>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</si>
  <si>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</si>
  <si>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</si>
  <si>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</si>
  <si>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</si>
  <si>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</si>
  <si>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</si>
  <si>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</si>
  <si>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</si>
  <si>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</si>
  <si>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</si>
  <si>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</si>
  <si>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</si>
  <si>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</si>
  <si>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</si>
  <si>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</si>
  <si>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</si>
  <si>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</si>
  <si>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</si>
  <si>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</si>
  <si>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</si>
  <si>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</si>
  <si>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</si>
  <si>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</si>
  <si>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</si>
  <si>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</si>
  <si>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</si>
  <si>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</si>
  <si>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</si>
  <si>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</si>
  <si>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</si>
  <si>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</si>
  <si>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</si>
  <si>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</si>
  <si>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</si>
  <si>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</si>
  <si>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</si>
  <si>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</si>
  <si>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</si>
  <si>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</si>
  <si>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</si>
  <si>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</si>
  <si>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</si>
  <si>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</si>
  <si>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</si>
  <si>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</si>
  <si>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</si>
  <si>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</si>
  <si>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</si>
  <si>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</si>
  <si>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</si>
  <si>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</si>
  <si>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</si>
  <si>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</si>
  <si>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</si>
  <si>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</si>
  <si>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</si>
  <si>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</si>
  <si>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</si>
  <si>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</si>
  <si>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</si>
  <si>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</si>
  <si>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</si>
  <si>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</si>
  <si>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</si>
  <si>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</si>
  <si>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</si>
  <si>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</si>
  <si>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</si>
  <si>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</si>
  <si>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</si>
  <si>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</si>
  <si>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</si>
  <si>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</si>
  <si>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</si>
  <si>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</si>
  <si>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</si>
  <si>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</si>
  <si>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</si>
  <si>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</si>
  <si>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</si>
  <si>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</si>
  <si>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</si>
  <si>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</si>
  <si>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</si>
  <si>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</si>
  <si>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</si>
  <si>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</si>
  <si>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</si>
  <si>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</si>
  <si>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</si>
  <si>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</si>
  <si>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</si>
  <si>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</si>
  <si>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</si>
  <si>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</si>
  <si>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</si>
  <si>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</si>
  <si>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</si>
  <si>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</si>
  <si>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</si>
  <si>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</si>
  <si>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</si>
  <si>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</si>
  <si>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</si>
  <si>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</si>
  <si>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</si>
  <si>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</si>
  <si>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</si>
  <si>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</si>
  <si>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</si>
  <si>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</si>
  <si>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</si>
  <si>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</si>
  <si>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</si>
  <si>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</si>
  <si>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</si>
  <si>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</si>
  <si>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</si>
  <si>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</si>
  <si>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</si>
  <si>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</si>
  <si>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</si>
  <si>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</si>
  <si>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</si>
  <si>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</si>
  <si>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</si>
  <si>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</si>
  <si>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</si>
  <si>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</si>
  <si>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</si>
  <si>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</si>
  <si>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</si>
  <si>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</si>
  <si>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</si>
  <si>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</si>
  <si>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</si>
  <si>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</si>
  <si>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</si>
  <si>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</si>
  <si>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</si>
  <si>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</si>
  <si>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</si>
  <si>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</si>
  <si>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</si>
  <si>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</si>
  <si>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</si>
  <si>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</si>
  <si>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</si>
  <si>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</si>
  <si>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</si>
  <si>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</si>
  <si>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</si>
  <si>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</si>
  <si>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</si>
  <si>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</si>
  <si>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</si>
  <si>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</si>
  <si>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</si>
  <si>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</si>
  <si>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</si>
  <si>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</si>
  <si>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</si>
  <si>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</si>
  <si>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</si>
  <si>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</si>
  <si>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</si>
  <si>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</si>
  <si>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</si>
  <si>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</si>
  <si>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</si>
  <si>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</si>
  <si>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</si>
  <si>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</si>
  <si>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</si>
  <si>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</si>
  <si>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</si>
  <si>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</si>
  <si>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</si>
  <si>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</si>
  <si>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</si>
  <si>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</si>
  <si>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</si>
  <si>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</si>
  <si>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</si>
  <si>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</si>
  <si>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</si>
  <si>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</si>
  <si>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</si>
  <si>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</si>
  <si>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</si>
  <si>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</si>
  <si>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</si>
  <si>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</si>
  <si>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</si>
  <si>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</si>
  <si>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</si>
  <si>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</si>
  <si>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</si>
  <si>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</si>
  <si>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</si>
  <si>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</si>
  <si>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</si>
  <si>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</si>
  <si>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</si>
  <si>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</si>
  <si>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</si>
  <si>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</si>
  <si>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</si>
  <si>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</si>
  <si>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</si>
  <si>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</si>
  <si>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</si>
  <si>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</si>
  <si>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</si>
  <si>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</si>
  <si>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</si>
  <si>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</si>
  <si>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</si>
  <si>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</si>
  <si>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</si>
  <si>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</si>
  <si>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</si>
  <si>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</si>
  <si>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</si>
  <si>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</si>
  <si>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</si>
  <si>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</si>
  <si>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</si>
  <si>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</si>
  <si>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</si>
  <si>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</si>
  <si>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</si>
  <si>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</si>
  <si>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</si>
  <si>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</si>
  <si>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</si>
  <si>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</si>
  <si>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</si>
  <si>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</si>
  <si>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</si>
  <si>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</si>
  <si>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</si>
  <si>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</si>
  <si>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</si>
  <si>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</si>
  <si>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</si>
  <si>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</si>
  <si>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</si>
  <si>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</si>
  <si>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</si>
  <si>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</si>
  <si>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</si>
  <si>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</si>
  <si>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</si>
  <si>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</si>
  <si>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</si>
  <si>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</si>
  <si>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</si>
  <si>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</si>
  <si>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</si>
  <si>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</si>
  <si>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</si>
  <si>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</si>
  <si>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</si>
  <si>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</si>
  <si>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</si>
  <si>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</si>
  <si>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</si>
  <si>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</si>
  <si>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</si>
  <si>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</si>
  <si>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</si>
  <si>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</si>
  <si>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</si>
  <si>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</si>
  <si>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</si>
  <si>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</si>
  <si>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</si>
  <si>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</si>
  <si>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</si>
  <si>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</si>
  <si>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</si>
  <si>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</si>
  <si>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</si>
  <si>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</si>
  <si>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</si>
  <si>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</si>
  <si>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</si>
  <si>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</si>
  <si>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</si>
  <si>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</si>
  <si>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</si>
  <si>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</si>
  <si>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</si>
  <si>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</si>
  <si>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</si>
  <si>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</si>
  <si>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</si>
  <si>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</si>
  <si>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</si>
  <si>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</si>
  <si>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</si>
  <si>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</si>
  <si>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</si>
  <si>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</si>
  <si>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</si>
  <si>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</si>
  <si>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</si>
  <si>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</si>
  <si>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</si>
  <si>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</si>
  <si>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</si>
  <si>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</si>
  <si>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</si>
  <si>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</si>
  <si>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</si>
  <si>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</si>
  <si>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</si>
  <si>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</si>
  <si>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</si>
  <si>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</si>
  <si>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</si>
  <si>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</si>
  <si>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</si>
  <si>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</si>
  <si>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</si>
  <si>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</si>
  <si>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</si>
  <si>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</si>
  <si>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</si>
  <si>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</si>
  <si>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</si>
  <si>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</si>
  <si>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</si>
  <si>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</si>
  <si>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</si>
  <si>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</si>
  <si>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</si>
  <si>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</si>
  <si>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</si>
  <si>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</si>
  <si>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</si>
  <si>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</si>
  <si>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</si>
  <si>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</si>
  <si>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</si>
  <si>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</si>
  <si>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</si>
  <si>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</si>
  <si>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</si>
  <si>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</si>
  <si>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</si>
  <si>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</si>
  <si>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</si>
  <si>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</si>
  <si>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</si>
  <si>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</si>
  <si>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</si>
  <si>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</si>
  <si>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</si>
  <si>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</si>
  <si>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</si>
  <si>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</si>
  <si>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</si>
  <si>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</si>
  <si>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</si>
  <si>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</si>
  <si>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</si>
  <si>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</si>
  <si>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</si>
  <si>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</si>
  <si>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</si>
  <si>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</si>
  <si>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</si>
  <si>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</si>
  <si>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</si>
  <si>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</si>
  <si>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</si>
  <si>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</si>
  <si>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</si>
  <si>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</si>
  <si>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</si>
  <si>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</si>
  <si>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</si>
  <si>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</si>
  <si>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</si>
  <si>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</si>
  <si>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</si>
  <si>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</si>
  <si>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</si>
  <si>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</si>
  <si>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</si>
  <si>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</si>
  <si>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</si>
  <si>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</si>
  <si>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</si>
  <si>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</si>
  <si>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</si>
  <si>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</si>
  <si>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</si>
  <si>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</si>
  <si>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</si>
  <si>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</si>
  <si>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</si>
  <si>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</si>
  <si>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</si>
  <si>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</si>
  <si>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</si>
  <si>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</si>
  <si>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</si>
  <si>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</si>
  <si>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</si>
  <si>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</si>
  <si>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</si>
  <si>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</si>
  <si>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</si>
  <si>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</si>
  <si>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</si>
  <si>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</si>
  <si>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</si>
  <si>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</si>
  <si>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</si>
  <si>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</si>
  <si>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</si>
  <si>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</si>
  <si>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</si>
  <si>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</si>
  <si>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</si>
  <si>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</si>
  <si>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</si>
  <si>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</si>
  <si>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</si>
  <si>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</si>
  <si>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</si>
  <si>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</si>
  <si>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</si>
  <si>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</si>
  <si>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</si>
  <si>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</si>
  <si>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</si>
  <si>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</si>
  <si>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</si>
  <si>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</si>
  <si>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</si>
  <si>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</si>
  <si>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</si>
  <si>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</si>
  <si>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</si>
  <si>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</si>
  <si>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</si>
  <si>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</si>
  <si>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</si>
  <si>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</si>
  <si>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</si>
  <si>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</si>
  <si>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</si>
  <si>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</si>
  <si>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</si>
  <si>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</si>
  <si>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</si>
  <si>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</si>
  <si>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</si>
  <si>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</si>
  <si>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</si>
  <si>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</si>
  <si>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</si>
  <si>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</si>
  <si>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</si>
  <si>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</si>
  <si>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</si>
  <si>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</si>
  <si>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</si>
  <si>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</si>
  <si>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</si>
  <si>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</si>
  <si>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</si>
  <si>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</si>
  <si>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</si>
  <si>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</si>
  <si>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</si>
  <si>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</si>
  <si>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</si>
  <si>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</si>
  <si>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</si>
  <si>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</si>
  <si>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</si>
  <si>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</si>
  <si>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</si>
  <si>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</si>
  <si>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</si>
  <si>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</si>
  <si>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</si>
  <si>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</si>
  <si>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</si>
  <si>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</si>
  <si>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</si>
  <si>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</si>
  <si>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</si>
  <si>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</si>
  <si>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</si>
  <si>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</si>
  <si>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</si>
  <si>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</si>
  <si>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</si>
  <si>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</si>
  <si>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</si>
  <si>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</si>
  <si>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</si>
  <si>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</si>
  <si>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</si>
  <si>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</si>
  <si>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</si>
  <si>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</si>
  <si>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</si>
  <si>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</si>
  <si>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</si>
  <si>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</si>
  <si>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</si>
  <si>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</si>
  <si>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</si>
  <si>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</si>
  <si>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</si>
  <si>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</si>
  <si>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</si>
  <si>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</si>
  <si>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</si>
  <si>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</si>
  <si>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</si>
  <si>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</si>
  <si>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</si>
  <si>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</si>
  <si>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</si>
  <si>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</si>
  <si>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</si>
  <si>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</si>
  <si>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</si>
  <si>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</si>
  <si>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</si>
  <si>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</si>
  <si>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</si>
  <si>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</si>
  <si>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</si>
  <si>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</si>
  <si>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</si>
  <si>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</si>
  <si>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</si>
  <si>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</si>
  <si>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</si>
  <si>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</si>
  <si>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</si>
  <si>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</si>
  <si>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</si>
  <si>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</si>
  <si>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</si>
  <si>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</si>
  <si>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</si>
  <si>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</si>
  <si>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</si>
  <si>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</si>
  <si>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</si>
  <si>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</si>
  <si>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</si>
  <si>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</si>
  <si>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</si>
  <si>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</si>
  <si>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</si>
  <si>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</si>
  <si>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</si>
  <si>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</si>
  <si>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</si>
  <si>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</si>
  <si>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</si>
  <si>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</si>
  <si>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</si>
  <si>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</si>
  <si>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</si>
  <si>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</si>
  <si>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</si>
  <si>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</si>
  <si>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</si>
  <si>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</si>
  <si>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</si>
  <si>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</si>
  <si>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</si>
  <si>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</si>
  <si>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</si>
  <si>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</si>
  <si>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</si>
  <si>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</si>
  <si>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</si>
  <si>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</si>
  <si>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</si>
  <si>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</si>
  <si>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</si>
  <si>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</si>
  <si>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</si>
  <si>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</si>
  <si>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</si>
  <si>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</si>
  <si>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</si>
  <si>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</si>
  <si>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</si>
  <si>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</si>
  <si>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</si>
  <si>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</si>
  <si>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</si>
  <si>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</si>
  <si>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</si>
  <si>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</si>
  <si>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</si>
  <si>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</si>
  <si>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</si>
  <si>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</si>
  <si>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</si>
  <si>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</si>
  <si>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</si>
  <si>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</si>
  <si>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</si>
  <si>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</si>
  <si>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</si>
  <si>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</si>
  <si>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</si>
  <si>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</si>
  <si>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</si>
  <si>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</si>
  <si>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</si>
  <si>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</si>
  <si>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</si>
  <si>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</si>
  <si>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</si>
  <si>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</si>
  <si>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</si>
  <si>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</si>
  <si>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</si>
  <si>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</si>
  <si>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</si>
  <si>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</si>
  <si>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</si>
  <si>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</si>
  <si>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</si>
  <si>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</si>
  <si>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</si>
  <si>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</si>
  <si>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</si>
  <si>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</si>
  <si>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</si>
  <si>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</si>
  <si>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</si>
  <si>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</si>
  <si>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</si>
  <si>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</si>
  <si>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</si>
  <si>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</si>
  <si>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</si>
  <si>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</si>
  <si>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</si>
  <si>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</si>
  <si>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</si>
  <si>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</si>
  <si>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</si>
  <si>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</si>
  <si>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</si>
  <si>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</si>
  <si>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</si>
  <si>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</si>
  <si>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</si>
  <si>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</si>
  <si>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</si>
  <si>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</si>
  <si>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</si>
  <si>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</si>
  <si>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</si>
  <si>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</si>
  <si>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</si>
  <si>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</si>
  <si>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</si>
  <si>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</si>
  <si>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</si>
  <si>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</si>
  <si>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</si>
  <si>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</si>
  <si>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</si>
  <si>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</si>
  <si>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</si>
  <si>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</si>
  <si>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</si>
  <si>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</si>
  <si>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</si>
  <si>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</si>
  <si>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</si>
  <si>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</si>
  <si>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</si>
  <si>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</si>
  <si>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</si>
  <si>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</si>
  <si>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</si>
  <si>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</si>
  <si>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</si>
  <si>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</si>
  <si>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</si>
  <si>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</si>
  <si>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</si>
  <si>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</si>
  <si>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</si>
  <si>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</si>
  <si>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</si>
  <si>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</si>
  <si>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</si>
  <si>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</si>
  <si>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</si>
  <si>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</si>
  <si>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</si>
  <si>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</si>
  <si>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</si>
  <si>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</si>
  <si>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</si>
  <si>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</si>
  <si>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</si>
  <si>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</si>
  <si>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</si>
  <si>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</si>
  <si>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</si>
  <si>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</si>
  <si>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</si>
  <si>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</si>
  <si>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</si>
  <si>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</si>
  <si>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</si>
  <si>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</si>
  <si>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</si>
  <si>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</si>
  <si>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</si>
  <si>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</si>
  <si>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</si>
  <si>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</si>
  <si>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</si>
  <si>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</si>
  <si>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</si>
  <si>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</si>
  <si>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</si>
  <si>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</si>
  <si>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</si>
  <si>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</si>
  <si>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</si>
  <si>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</si>
  <si>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</si>
  <si>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</si>
  <si>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</si>
  <si>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</si>
  <si>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</si>
  <si>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</si>
  <si>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</si>
  <si>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</si>
  <si>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</si>
  <si>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</si>
  <si>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</si>
  <si>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</si>
  <si>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</si>
  <si>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</si>
  <si>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</si>
  <si>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</si>
  <si>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</si>
  <si>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</si>
  <si>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</si>
  <si>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</si>
  <si>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</si>
  <si>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</si>
  <si>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</si>
  <si>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</si>
  <si>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</si>
  <si>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</si>
  <si>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</si>
  <si>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</si>
  <si>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</si>
  <si>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</si>
  <si>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</si>
  <si>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</si>
  <si>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</si>
  <si>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</si>
  <si>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</si>
  <si>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</si>
  <si>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</si>
  <si>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</si>
  <si>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</si>
  <si>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</si>
  <si>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</si>
  <si>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</si>
  <si>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</si>
  <si>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</si>
  <si>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</si>
  <si>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</si>
  <si>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</si>
  <si>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</si>
  <si>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</si>
  <si>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</si>
  <si>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</si>
  <si>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</si>
  <si>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</si>
  <si>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</si>
  <si>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</si>
  <si>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</si>
  <si>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</si>
  <si>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</si>
  <si>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</si>
  <si>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</si>
  <si>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</si>
  <si>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</si>
  <si>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</si>
  <si>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</si>
  <si>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</si>
  <si>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</si>
  <si>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</si>
  <si>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</si>
  <si>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</si>
  <si>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</si>
  <si>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</si>
  <si>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</si>
  <si>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</si>
  <si>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</si>
  <si>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</si>
  <si>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</si>
  <si>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</si>
  <si>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</si>
  <si>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</si>
  <si>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</si>
  <si>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</si>
  <si>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</si>
  <si>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</si>
  <si>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</si>
  <si>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</si>
  <si>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</si>
  <si>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</si>
  <si>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</si>
  <si>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</si>
  <si>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</si>
  <si>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</si>
  <si>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</si>
  <si>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</si>
  <si>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</si>
  <si>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</si>
  <si>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</si>
  <si>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</si>
  <si>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</si>
  <si>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</si>
  <si>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</si>
  <si>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</si>
  <si>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</si>
  <si>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</si>
  <si>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</si>
  <si>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</si>
  <si>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</si>
  <si>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</si>
  <si>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</si>
  <si>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</si>
  <si>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</si>
  <si>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</si>
  <si>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</si>
  <si>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</si>
  <si>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</si>
  <si>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</si>
  <si>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</si>
  <si>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</si>
  <si>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</si>
  <si>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</si>
  <si>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</si>
  <si>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</si>
  <si>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</si>
  <si>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</si>
  <si>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</si>
  <si>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</si>
  <si>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</si>
  <si>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</si>
  <si>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</si>
  <si>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</si>
  <si>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</si>
  <si>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</si>
  <si>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</si>
  <si>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</si>
  <si>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</si>
  <si>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</si>
  <si>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</si>
  <si>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</si>
  <si>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</si>
  <si>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</si>
  <si>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</si>
  <si>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</si>
  <si>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</si>
  <si>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</si>
  <si>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</si>
  <si>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</si>
  <si>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</si>
  <si>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</si>
  <si>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</si>
  <si>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</si>
  <si>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</si>
  <si>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</si>
  <si>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</si>
  <si>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</si>
  <si>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</si>
  <si>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</si>
  <si>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</si>
  <si>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</si>
  <si>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</si>
  <si>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</si>
  <si>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</si>
  <si>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</si>
  <si>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</si>
  <si>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</si>
  <si>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</si>
  <si>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</si>
  <si>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</si>
  <si>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</si>
  <si>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</si>
  <si>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</si>
  <si>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</si>
  <si>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</si>
  <si>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</si>
  <si>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</si>
  <si>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</si>
  <si>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</si>
  <si>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</si>
  <si>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</si>
  <si>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</si>
  <si>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</si>
  <si>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</si>
  <si>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</si>
  <si>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</si>
  <si>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</si>
  <si>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</si>
  <si>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</si>
  <si>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</si>
  <si>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</si>
  <si>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</si>
  <si>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</si>
  <si>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</si>
  <si>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</si>
  <si>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</si>
  <si>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</si>
  <si>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</si>
  <si>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</si>
  <si>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</si>
  <si>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</si>
  <si>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</si>
  <si>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</si>
  <si>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</si>
  <si>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</si>
  <si>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</si>
  <si>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</si>
  <si>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</si>
  <si>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</si>
  <si>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</si>
  <si>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</si>
  <si>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</si>
  <si>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</si>
  <si>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</si>
  <si>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</si>
  <si>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</si>
  <si>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</si>
  <si>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</si>
  <si>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</si>
  <si>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</si>
  <si>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</si>
  <si>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</si>
  <si>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</si>
  <si>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</si>
  <si>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</si>
  <si>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</si>
  <si>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</si>
  <si>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</si>
  <si>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</si>
  <si>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</si>
  <si>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</si>
  <si>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</si>
  <si>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</si>
  <si>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</si>
  <si>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</si>
  <si>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</si>
  <si>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</si>
  <si>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</si>
  <si>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</si>
  <si>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</si>
  <si>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</si>
  <si>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</si>
  <si>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</si>
  <si>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</si>
  <si>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</si>
  <si>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</si>
  <si>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</si>
  <si>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</si>
  <si>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</si>
  <si>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</si>
  <si>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</si>
  <si>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</si>
  <si>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</si>
  <si>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</si>
  <si>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</si>
  <si>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</si>
  <si>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</si>
  <si>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</si>
  <si>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</si>
  <si>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</si>
  <si>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</si>
  <si>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</si>
  <si>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</si>
  <si>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</si>
  <si>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</si>
  <si>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</si>
  <si>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</si>
  <si>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</si>
  <si>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</si>
  <si>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</si>
  <si>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</si>
  <si>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</si>
  <si>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</si>
  <si>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</si>
  <si>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</si>
  <si>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</si>
  <si>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</si>
  <si>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</si>
  <si>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</si>
  <si>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</si>
  <si>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</si>
  <si>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</si>
  <si>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</si>
  <si>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</si>
  <si>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</si>
  <si>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</si>
  <si>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</si>
  <si>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</si>
  <si>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</si>
  <si>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</si>
  <si>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</si>
  <si>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</si>
  <si>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</si>
  <si>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</si>
  <si>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</si>
  <si>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</si>
  <si>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</si>
  <si>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</si>
  <si>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</si>
  <si>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</si>
  <si>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</si>
  <si>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</si>
  <si>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</si>
  <si>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</si>
  <si>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</si>
  <si>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</si>
  <si>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</si>
  <si>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</si>
  <si>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</si>
  <si>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</si>
  <si>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</si>
  <si>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</si>
  <si>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</si>
  <si>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</si>
  <si>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</si>
  <si>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</si>
  <si>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</si>
  <si>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</si>
  <si>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</si>
  <si>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</si>
  <si>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</si>
  <si>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</si>
  <si>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</si>
  <si>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</si>
  <si>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</si>
  <si>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</si>
  <si>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</si>
  <si>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</si>
  <si>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</si>
  <si>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</si>
  <si>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</si>
  <si>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</si>
  <si>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</si>
  <si>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</si>
  <si>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</si>
  <si>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</si>
  <si>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</si>
  <si>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</si>
  <si>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</si>
  <si>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</si>
  <si>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</si>
  <si>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</si>
  <si>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</si>
  <si>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</si>
  <si>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</si>
  <si>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</si>
  <si>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</si>
  <si>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</si>
  <si>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</si>
  <si>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</si>
  <si>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</si>
  <si>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</si>
  <si>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</si>
  <si>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</si>
  <si>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</si>
  <si>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</si>
  <si>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</si>
  <si>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</si>
  <si>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</si>
  <si>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</si>
  <si>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</si>
  <si>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</si>
  <si>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</si>
  <si>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</si>
  <si>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</si>
  <si>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</si>
  <si>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</si>
  <si>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</si>
  <si>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</si>
  <si>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</si>
  <si>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</si>
  <si>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</si>
  <si>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</si>
  <si>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</si>
  <si>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</si>
  <si>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</si>
  <si>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</si>
  <si>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</si>
  <si>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</si>
  <si>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</si>
  <si>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</si>
  <si>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</si>
  <si>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44 от 28.10.2019 ООО "Тепловодоканал" в сфере водоснабжения по приведению качества питьевой воды в соответствие с установленными требованиями системы водоснабжения на 2020-2022 годы</t>
  </si>
  <si>
    <t>01.01.2020</t>
  </si>
  <si>
    <t>31.12.2022</t>
  </si>
  <si>
    <t>Инвестиционная программа МУП "Костромагорводоканал" по развитию системы холодного водоснабжения и водоотведения города Кострома на 2018-2021 годы</t>
  </si>
  <si>
    <t>01.01.2018</t>
  </si>
  <si>
    <t>31.12.2021</t>
  </si>
  <si>
    <t>Инвестиционная программа муниципального унитарного предприятия города Костромы "Костромагорводоканал" по развитию систем водоснабжения и водоотведения на 2013-2022 годы</t>
  </si>
  <si>
    <t>23.05.2013</t>
  </si>
  <si>
    <t>Инвестиционная программа от 28.10.2019 ООО "Тепловодоканал" в сфере водоснабжения по приведению качества питьевой воды в соответствие с установленными требованиями систем водоснабжения, на территории городского округа Буй на 2020-2022 годы</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</si>
  <si>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</si>
  <si>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</si>
  <si>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</si>
  <si>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</si>
  <si>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Территория 1</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</si>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</sst>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0"/>
    <numFmt numFmtId="169" formatCode="#,##0.000"/>
    <numFmt numFmtId="170" formatCode="#,##0.0000"/>
    <numFmt numFmtId="171" formatCode="dd\.mm\.yyyy"/>
  </numFmts>
  <fonts count="105">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u/>
      <sz val="9"/>
      <color rgb="FF00008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
      <b/>
      <sz val="9"/>
      <name val="Tahoma"/>
      <family val="2"/>
      <charset val="204"/>
    </font>
    <font>
      <sz val="9"/>
      <name val="Tahoma"/>
      <family val="2"/>
      <charset val="204"/>
    </font>
    <font>
      <vertAlign val="superscript"/>
      <sz val="10"/>
      <name val="Tahoma"/>
      <family val="2"/>
      <charset val="204"/>
    </font>
    <font>
      <vertAlign val="superscript"/>
      <sz val="9"/>
      <name val="Tahoma"/>
      <family val="2"/>
      <charset val="204"/>
    </font>
    <font>
      <sz val="9"/>
      <color indexed="81"/>
      <name val="Tahoma"/>
      <family val="2"/>
    </font>
    <font>
      <sz val="9"/>
      <color indexed="81"/>
      <name val="Arial"/>
      <family val="2"/>
    </font>
  </fonts>
  <fills count="27">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style="thin">
        <color rgb="FFC0C0C0"/>
      </left>
      <right/>
      <top/>
      <bottom style="thin">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33">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0" fontId="2" fillId="8" borderId="18" xfId="0" applyNumberFormat="1" applyFont="1" applyFill="1" applyBorder="1" applyAlignment="1">
      <alignment vertical="center" wrapText="1"/>
    </xf>
    <xf numFmtId="49" fontId="12" fillId="8" borderId="19"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4"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20"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20"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20"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20"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1"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18"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18"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9"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0" fontId="2" fillId="0" borderId="3" xfId="0" applyNumberFormat="1" applyFont="1" applyBorder="1" applyAlignment="1">
      <alignment horizontal="center"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49" fontId="64" fillId="10" borderId="3" xfId="0" applyNumberFormat="1" applyFont="1" applyFill="1" applyBorder="1" applyAlignment="1" applyProtection="1">
      <alignment horizontal="left" vertical="center" wrapText="1" inden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0" fontId="65" fillId="0" borderId="0" xfId="0" applyNumberFormat="1" applyFont="1" applyAlignment="1">
      <alignment horizontal="left" vertical="center" wrapText="1"/>
    </xf>
    <xf numFmtId="14" fontId="65" fillId="6" borderId="0" xfId="0" applyNumberFormat="1" applyFont="1" applyFill="1" applyAlignment="1">
      <alignment horizontal="left" vertical="center" wrapText="1"/>
    </xf>
    <xf numFmtId="14" fontId="66"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14" fontId="67"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5" fillId="12"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2"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5" fillId="12"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1"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70"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1" fillId="6" borderId="0" xfId="0" applyNumberFormat="1" applyFont="1" applyFill="1" applyAlignment="1">
      <alignment horizontal="right" vertical="center"/>
    </xf>
    <xf numFmtId="0" fontId="2" fillId="10" borderId="3" xfId="0" applyNumberFormat="1" applyFont="1" applyFill="1" applyBorder="1" applyAlignment="1" applyProtection="1">
      <alignment horizontal="center" vertical="center" wrapText="1"/>
      <protection locked="0"/>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7" xfId="0" applyNumberFormat="1" applyFont="1" applyBorder="1" applyAlignment="1">
      <alignment horizontal="left" vertical="top" wrapText="1"/>
    </xf>
    <xf numFmtId="49" fontId="69" fillId="0" borderId="18"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2"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1"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3"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3"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3"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3"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3"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7"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1" xfId="0" applyNumberFormat="1" applyFont="1" applyFill="1" applyBorder="1" applyAlignment="1" applyProtection="1">
      <alignment horizontal="right" vertical="center" wrapText="1"/>
      <protection locked="0"/>
    </xf>
    <xf numFmtId="49" fontId="65" fillId="12" borderId="3" xfId="0" applyNumberFormat="1" applyFont="1" applyFill="1" applyBorder="1" applyAlignment="1">
      <alignment horizontal="center" vertical="top"/>
    </xf>
    <xf numFmtId="49" fontId="69"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9"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7" borderId="0" xfId="0" applyNumberFormat="1" applyFont="1" applyFill="1" applyAlignment="1">
      <alignment horizontal="center" vertical="center" wrapText="1"/>
    </xf>
    <xf numFmtId="0" fontId="65"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9" fillId="12" borderId="3" xfId="0" applyNumberFormat="1" applyFont="1" applyFill="1" applyBorder="1" applyAlignment="1">
      <alignment horizontal="center" vertical="top" wrapText="1"/>
    </xf>
    <xf numFmtId="49" fontId="69" fillId="12" borderId="3" xfId="0" applyNumberFormat="1" applyFont="1" applyFill="1" applyBorder="1" applyAlignment="1">
      <alignment horizontal="left" vertical="top" wrapText="1"/>
    </xf>
    <xf numFmtId="49" fontId="69" fillId="12"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4" fillId="0" borderId="0" xfId="0" applyNumberFormat="1" applyFont="1" applyAlignment="1">
      <alignment horizontal="center" vertical="center" wrapText="1"/>
    </xf>
    <xf numFmtId="0" fontId="75"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9"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18"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9"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8"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6"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7" fillId="0" borderId="38" xfId="0" applyNumberFormat="1" applyFont="1" applyBorder="1" applyAlignment="1">
      <alignment horizontal="left" vertical="center" indent="1"/>
    </xf>
    <xf numFmtId="0" fontId="77" fillId="0" borderId="39" xfId="0" applyNumberFormat="1" applyFont="1" applyBorder="1" applyAlignment="1">
      <alignment horizontal="left" vertical="center" indent="1"/>
    </xf>
    <xf numFmtId="0" fontId="77"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2"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8"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9" fillId="8" borderId="5" xfId="0" applyNumberFormat="1" applyFont="1" applyFill="1" applyBorder="1" applyAlignment="1">
      <alignment horizontal="left" vertical="center" indent="1"/>
    </xf>
    <xf numFmtId="49" fontId="79" fillId="8" borderId="6" xfId="0" applyNumberFormat="1" applyFont="1" applyFill="1" applyBorder="1" applyAlignment="1">
      <alignment horizontal="left" vertical="center" indent="1"/>
    </xf>
    <xf numFmtId="49" fontId="68" fillId="8" borderId="34" xfId="0" applyNumberFormat="1" applyFont="1" applyFill="1" applyBorder="1" applyAlignment="1">
      <alignment horizontal="center" vertical="center"/>
    </xf>
    <xf numFmtId="49" fontId="79"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9"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9"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80"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1"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1"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3"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3" fillId="8" borderId="6" xfId="0" applyNumberFormat="1" applyFont="1" applyFill="1" applyBorder="1" applyAlignment="1">
      <alignment horizontal="left" vertical="center" indent="2"/>
    </xf>
    <xf numFmtId="49" fontId="83" fillId="8" borderId="6" xfId="0" applyNumberFormat="1" applyFont="1" applyFill="1" applyBorder="1" applyAlignment="1">
      <alignment horizontal="left" vertical="center" indent="1"/>
    </xf>
    <xf numFmtId="49" fontId="83"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5"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18" xfId="0" applyNumberFormat="1" applyFont="1" applyBorder="1" applyAlignment="1">
      <alignment horizontal="left" vertical="center"/>
    </xf>
    <xf numFmtId="0" fontId="12" fillId="0" borderId="19" xfId="0" applyNumberFormat="1" applyFont="1" applyBorder="1" applyAlignment="1">
      <alignment horizontal="left" vertical="center"/>
    </xf>
    <xf numFmtId="0" fontId="0" fillId="0" borderId="19" xfId="0" applyNumberFormat="1" applyFont="1" applyBorder="1" applyAlignment="1">
      <alignment vertical="center"/>
    </xf>
    <xf numFmtId="0" fontId="12" fillId="0" borderId="21"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1" fillId="0" borderId="0" xfId="0" applyNumberFormat="1" applyFont="1">
      <alignment vertical="top"/>
    </xf>
    <xf numFmtId="49" fontId="71"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1"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1"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1"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9"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1"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18" xfId="0" applyNumberFormat="1" applyFont="1" applyBorder="1" applyAlignment="1">
      <alignment horizontal="right" vertical="center" wrapText="1"/>
    </xf>
    <xf numFmtId="49" fontId="0" fillId="8" borderId="21" xfId="0" applyNumberFormat="1" applyFont="1" applyFill="1" applyBorder="1" applyAlignment="1">
      <alignment horizontal="center" vertical="center" wrapText="1"/>
    </xf>
    <xf numFmtId="0" fontId="84"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5" fillId="0" borderId="0" xfId="0" applyNumberFormat="1" applyFont="1" applyAlignment="1">
      <alignment vertical="center" wrapText="1"/>
    </xf>
    <xf numFmtId="0" fontId="85"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9" xfId="0" applyNumberFormat="1" applyFont="1" applyFill="1" applyBorder="1" applyAlignment="1">
      <alignment horizontal="left" vertical="center"/>
    </xf>
    <xf numFmtId="0" fontId="85"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6" fillId="0" borderId="0" xfId="0" applyNumberFormat="1" applyFont="1" applyAlignment="1">
      <alignment vertical="center"/>
    </xf>
    <xf numFmtId="0" fontId="86"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18" xfId="0" applyNumberFormat="1" applyFont="1" applyFill="1" applyBorder="1" applyAlignment="1">
      <alignment horizontal="right" vertical="center" wrapText="1"/>
    </xf>
    <xf numFmtId="49" fontId="0" fillId="8" borderId="19"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9"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18" xfId="0" applyNumberFormat="1" applyFont="1" applyFill="1" applyBorder="1" applyAlignment="1" applyProtection="1">
      <alignment horizontal="left" vertical="center" wrapText="1"/>
      <protection locked="0"/>
    </xf>
    <xf numFmtId="49" fontId="26" fillId="8" borderId="19"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9"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9"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7" fillId="0" borderId="0" xfId="0" applyNumberFormat="1" applyFont="1" applyAlignment="1">
      <alignment vertical="center" wrapText="1"/>
    </xf>
    <xf numFmtId="0" fontId="88"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18"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9"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9"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90" fillId="0" borderId="0" xfId="0" applyNumberFormat="1" applyFont="1" applyAlignment="1">
      <alignment wrapText="1"/>
    </xf>
    <xf numFmtId="0" fontId="10" fillId="0" borderId="0" xfId="0" applyNumberFormat="1" applyFont="1" applyAlignment="1"/>
    <xf numFmtId="0" fontId="76" fillId="0" borderId="0" xfId="0" applyNumberFormat="1" applyFont="1" applyAlignment="1">
      <alignment horizontal="left" vertical="center" wrapText="1"/>
    </xf>
    <xf numFmtId="49" fontId="91"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2" fillId="0" borderId="0" xfId="0" applyNumberFormat="1" applyFont="1" applyAlignment="1">
      <alignment horizontal="left" vertical="center" wrapText="1"/>
    </xf>
    <xf numFmtId="0" fontId="93"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2" fillId="0" borderId="0" xfId="0" applyNumberFormat="1" applyFont="1" applyAlignment="1"/>
    <xf numFmtId="0" fontId="94"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2" fillId="0" borderId="29" xfId="0" applyNumberFormat="1" applyFont="1" applyBorder="1" applyAlignment="1">
      <alignment horizontal="left" vertical="center" wrapText="1"/>
    </xf>
    <xf numFmtId="0" fontId="92" fillId="0" borderId="54" xfId="0" applyNumberFormat="1" applyFont="1" applyBorder="1" applyAlignment="1">
      <alignment horizontal="left" vertical="center" wrapText="1"/>
    </xf>
    <xf numFmtId="0" fontId="94" fillId="0" borderId="0" xfId="0" applyNumberFormat="1" applyFont="1" applyAlignment="1"/>
    <xf numFmtId="0" fontId="94"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9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5"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18"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18"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49" fontId="0"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0" fontId="2" fillId="11" borderId="3" xfId="0" applyNumberFormat="1" applyFont="1" applyFill="1" applyBorder="1" applyAlignment="1">
      <alignment horizontal="center" vertical="center" wrapTex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0" fillId="0" borderId="1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6" fillId="10" borderId="3" xfId="0" applyNumberFormat="1" applyFont="1" applyFill="1" applyBorder="1" applyAlignment="1" applyProtection="1">
      <alignment horizontal="left" vertical="center" wrapText="1"/>
      <protection locked="0"/>
    </xf>
    <xf numFmtId="0" fontId="8" fillId="6" borderId="0" xfId="0" applyNumberFormat="1" applyFont="1" applyFill="1" applyAlignment="1">
      <alignment horizontal="center" vertical="center" wrapText="1"/>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7"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7"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9"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0" fillId="0" borderId="14" xfId="0" applyNumberFormat="1" applyFont="1" applyBorder="1" applyAlignment="1">
      <alignment horizontal="center" vertical="center" wrapText="1"/>
    </xf>
    <xf numFmtId="0" fontId="2" fillId="6" borderId="14"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49" fontId="0" fillId="0" borderId="0" xfId="0" applyNumberFormat="1" applyFont="1">
      <alignment vertical="top"/>
    </xf>
    <xf numFmtId="49" fontId="98" fillId="10" borderId="3" xfId="0" applyNumberFormat="1" applyFont="1" applyFill="1" applyBorder="1" applyAlignment="1" applyProtection="1">
      <alignment horizontal="left" vertical="center" wrapText="1" indent="1"/>
      <protection locked="0"/>
    </xf>
    <xf numFmtId="49" fontId="98" fillId="10" borderId="3" xfId="0" quotePrefix="1" applyNumberFormat="1" applyFont="1" applyFill="1" applyBorder="1" applyAlignment="1" applyProtection="1">
      <alignment horizontal="left" vertical="center" wrapText="1"/>
      <protection locked="0"/>
    </xf>
    <xf numFmtId="49" fontId="98" fillId="7" borderId="3" xfId="0" applyNumberFormat="1" applyFont="1" applyFill="1" applyBorder="1" applyAlignment="1" applyProtection="1">
      <alignment horizontal="left" vertical="center" wrapText="1"/>
      <protection locked="0"/>
    </xf>
    <xf numFmtId="49" fontId="26" fillId="6" borderId="3" xfId="0" applyNumberFormat="1" applyFont="1" applyFill="1" applyBorder="1" applyAlignment="1">
      <alignment horizontal="left"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18" fillId="17" borderId="53" xfId="0" applyNumberFormat="1" applyFont="1" applyFill="1" applyBorder="1" applyAlignment="1">
      <alignment horizontal="right" vertical="center" wrapText="1" indent="1"/>
    </xf>
    <xf numFmtId="0" fontId="18" fillId="17" borderId="60" xfId="0" applyNumberFormat="1" applyFont="1" applyFill="1" applyBorder="1" applyAlignment="1">
      <alignment horizontal="right" vertical="center" wrapText="1" indent="1"/>
    </xf>
    <xf numFmtId="0" fontId="18" fillId="17" borderId="29"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4" fillId="0" borderId="0" xfId="0" applyNumberFormat="1" applyFont="1" applyAlignment="1">
      <alignment vertical="center" wrapText="1"/>
    </xf>
    <xf numFmtId="0" fontId="18" fillId="17" borderId="59"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4" fillId="0" borderId="0" xfId="0" applyNumberFormat="1" applyFont="1" applyAlignment="1">
      <alignment vertical="top" wrapText="1"/>
    </xf>
    <xf numFmtId="49" fontId="39" fillId="0" borderId="0" xfId="0" applyNumberFormat="1" applyFont="1" applyAlignment="1">
      <alignment vertical="top" wrapText="1"/>
    </xf>
    <xf numFmtId="0" fontId="76" fillId="0" borderId="0" xfId="0" applyNumberFormat="1" applyFont="1" applyAlignment="1">
      <alignment vertical="center" wrapText="1"/>
    </xf>
    <xf numFmtId="0" fontId="76" fillId="0" borderId="0" xfId="0" applyNumberFormat="1" applyFont="1" applyAlignment="1">
      <alignment vertical="center"/>
    </xf>
    <xf numFmtId="0" fontId="18" fillId="25" borderId="56" xfId="0" applyNumberFormat="1" applyFont="1" applyFill="1" applyBorder="1" applyAlignment="1">
      <alignment horizontal="center" vertical="center" wrapText="1"/>
    </xf>
    <xf numFmtId="0" fontId="18" fillId="25" borderId="57" xfId="0" applyNumberFormat="1" applyFont="1" applyFill="1" applyBorder="1" applyAlignment="1">
      <alignment horizontal="center" vertical="center" wrapText="1"/>
    </xf>
    <xf numFmtId="0" fontId="18" fillId="25" borderId="58" xfId="0" applyNumberFormat="1" applyFont="1" applyFill="1" applyBorder="1" applyAlignment="1">
      <alignment horizontal="center" vertical="center" wrapText="1"/>
    </xf>
    <xf numFmtId="0" fontId="94" fillId="0" borderId="29" xfId="0" applyNumberFormat="1" applyFont="1" applyBorder="1" applyAlignment="1">
      <alignment vertical="center" wrapText="1"/>
    </xf>
    <xf numFmtId="0" fontId="94" fillId="0" borderId="29" xfId="0" applyNumberFormat="1" applyFont="1" applyBorder="1" applyAlignment="1">
      <alignment horizontal="left" vertical="center" wrapText="1"/>
    </xf>
    <xf numFmtId="0" fontId="94" fillId="0" borderId="0" xfId="0" applyNumberFormat="1" applyFont="1" applyAlignment="1">
      <alignment horizontal="left" vertical="center"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70" fillId="0" borderId="0" xfId="0" applyNumberFormat="1" applyFont="1" applyAlignment="1">
      <alignment horizontal="left" vertical="center" wrapText="1"/>
    </xf>
    <xf numFmtId="14" fontId="67"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63"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1"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18"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1" xfId="0" applyNumberFormat="1" applyFont="1" applyBorder="1" applyAlignment="1">
      <alignment horizontal="center" vertical="center" wrapText="1"/>
    </xf>
    <xf numFmtId="0" fontId="2" fillId="0" borderId="6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49" fontId="20" fillId="6" borderId="19" xfId="0" applyNumberFormat="1" applyFont="1" applyFill="1" applyBorder="1" applyAlignment="1">
      <alignment horizontal="center" vertical="center" wrapTex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9"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18" fillId="0" borderId="10" xfId="0" applyNumberFormat="1" applyFont="1" applyBorder="1" applyAlignment="1">
      <alignment horizontal="left" vertical="center" wrapText="1" indent="1"/>
    </xf>
    <xf numFmtId="0" fontId="2" fillId="0" borderId="8"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3"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0" fontId="12" fillId="0" borderId="19"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5" xfId="0" applyNumberFormat="1" applyFont="1" applyBorder="1" applyAlignment="1">
      <alignment horizontal="left" vertical="center" wrapText="1"/>
    </xf>
    <xf numFmtId="0" fontId="18" fillId="0" borderId="19" xfId="0" applyNumberFormat="1" applyFont="1" applyBorder="1" applyAlignment="1">
      <alignment horizontal="left" vertical="center" wrapText="1" inden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7"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0" borderId="19" xfId="0" applyNumberFormat="1" applyFont="1" applyBorder="1" applyAlignment="1">
      <alignment horizontal="left" vertical="center" wrapText="1" inden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18"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2" fillId="0" borderId="21"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18"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9"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xf>
    <xf numFmtId="49" fontId="2" fillId="10" borderId="3" xfId="0" applyNumberFormat="1" applyFont="1" applyFill="1" applyBorder="1" applyAlignment="1" applyProtection="1">
      <alignment horizontal="left" vertical="top" wrapText="1"/>
      <protection locked="0"/>
    </xf>
    <xf numFmtId="49" fontId="2" fillId="0" borderId="4" xfId="0" applyNumberFormat="1" applyFont="1" applyBorder="1" applyAlignment="1">
      <alignment horizontal="center" vertical="center" wrapText="1"/>
    </xf>
    <xf numFmtId="0" fontId="2"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5" borderId="3" xfId="0" applyNumberFormat="1" applyFont="1" applyFill="1" applyBorder="1" applyAlignment="1">
      <alignment horizontal="left" vertical="center" wrapText="1" indent="1"/>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xf>
    <xf numFmtId="49" fontId="97"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2" fillId="0" borderId="14" xfId="0" applyNumberFormat="1" applyFont="1" applyBorder="1" applyAlignment="1">
      <alignment horizontal="left" vertical="center" wrapText="1"/>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0" fontId="2" fillId="11" borderId="3" xfId="0" applyNumberFormat="1" applyFont="1" applyFill="1" applyBorder="1" applyAlignment="1">
      <alignment horizontal="center" vertical="center"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3"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49" fontId="97" fillId="0" borderId="4"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49" fontId="2" fillId="0" borderId="27"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71" fontId="2" fillId="5" borderId="3" xfId="0" applyNumberFormat="1" applyFont="1" applyFill="1" applyBorder="1" applyAlignment="1">
      <alignment horizontal="left" vertical="center" wrapText="1" indent="1"/>
    </xf>
    <xf numFmtId="0" fontId="2" fillId="5" borderId="3" xfId="0" applyNumberFormat="1" applyFont="1" applyFill="1" applyBorder="1" applyAlignment="1">
      <alignment horizontal="left" vertical="center" wrapText="1" inden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49" fontId="19" fillId="0" borderId="3" xfId="0" applyNumberFormat="1" applyFont="1" applyBorder="1" applyAlignment="1">
      <alignment horizontal="center" vertical="center" wrapText="1"/>
    </xf>
    <xf numFmtId="171" fontId="19"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3" xfId="0" applyNumberFormat="1" applyFont="1" applyBorder="1" applyAlignment="1">
      <alignment horizontal="center" vertical="center" wrapText="1"/>
    </xf>
    <xf numFmtId="0" fontId="19" fillId="0" borderId="5"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8" fillId="0" borderId="19"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2" fillId="0" borderId="10" xfId="0" applyNumberFormat="1" applyFont="1" applyBorder="1" applyAlignment="1">
      <alignment horizontal="left" vertical="center" wrapText="1" inden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19"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8" fillId="0" borderId="3" xfId="0" applyNumberFormat="1" applyFont="1" applyBorder="1" applyAlignment="1">
      <alignment horizontal="center"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0" fontId="20"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18"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11" borderId="3" xfId="0" applyNumberFormat="1" applyFont="1" applyFill="1" applyBorder="1" applyAlignment="1">
      <alignment horizontal="left" vertical="center" wrapText="1" inden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18"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7"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 fillId="5" borderId="3" xfId="0" applyNumberFormat="1" applyFont="1" applyFill="1" applyBorder="1" applyAlignment="1">
      <alignment horizontal="left" vertical="center" wrapTex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11" fillId="6" borderId="15" xfId="0" applyNumberFormat="1" applyFont="1" applyFill="1" applyBorder="1" applyAlignment="1">
      <alignment horizontal="center"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0" fontId="17" fillId="0" borderId="3" xfId="0" applyNumberFormat="1" applyFont="1" applyBorder="1" applyAlignment="1">
      <alignment horizontal="left" vertical="top" wrapText="1"/>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1" xfId="0" applyNumberFormat="1" applyFont="1" applyFill="1" applyBorder="1" applyAlignment="1">
      <alignment horizontal="center" vertical="center" wrapText="1"/>
    </xf>
    <xf numFmtId="0" fontId="20" fillId="0" borderId="10" xfId="0" applyNumberFormat="1" applyFont="1" applyBorder="1" applyAlignment="1">
      <alignment horizontal="left" vertical="center" wrapText="1"/>
    </xf>
    <xf numFmtId="49" fontId="65"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49" fontId="2" fillId="26" borderId="0" xfId="0" applyNumberFormat="1" applyFont="1" applyFill="1" applyAlignment="1">
      <alignment horizontal="center" vertical="center" textRotation="90" wrapText="1"/>
    </xf>
    <xf numFmtId="49" fontId="0"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60"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2" fillId="12" borderId="3"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9"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1"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18"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0</xdr:colOff>
      <xdr:row>7</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8" customWidth="1"/>
    <col min="2" max="2" width="9.09765625" style="1628" customWidth="1"/>
    <col min="3" max="3" width="16.3984375" style="1628" customWidth="1"/>
    <col min="4" max="25" width="6.296875" style="1628" customWidth="1"/>
    <col min="26" max="28" width="11" style="1628"/>
  </cols>
  <sheetData>
    <row r="1" spans="1:28" ht="15.75" customHeight="1">
      <c r="A1" s="1624"/>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6"/>
      <c r="Z1" s="1625"/>
      <c r="AA1" s="1627" t="s">
        <v>0</v>
      </c>
      <c r="AB1" s="1625"/>
    </row>
    <row r="2" spans="1:28" ht="17.25" customHeight="1">
      <c r="A2" s="1625"/>
      <c r="B2" s="1813" t="s">
        <v>1</v>
      </c>
      <c r="C2" s="1813"/>
      <c r="D2" s="1813"/>
      <c r="E2" s="1813"/>
      <c r="F2" s="1813"/>
      <c r="G2" s="1813"/>
      <c r="H2" s="1813"/>
      <c r="I2" s="1813"/>
      <c r="J2" s="1813"/>
      <c r="K2" s="1813"/>
      <c r="L2" s="1813"/>
      <c r="M2" s="1813"/>
      <c r="N2" s="1813"/>
      <c r="O2" s="1813"/>
      <c r="P2" s="1813"/>
      <c r="Q2" s="1629"/>
      <c r="R2" s="1629"/>
      <c r="S2" s="1629"/>
      <c r="T2" s="1629"/>
      <c r="U2" s="1629"/>
      <c r="V2" s="1630"/>
      <c r="W2" s="1629"/>
      <c r="X2" s="1629"/>
      <c r="Y2" s="1626"/>
      <c r="Z2" s="1625"/>
      <c r="AA2" s="1627"/>
      <c r="AB2" s="1625"/>
    </row>
    <row r="3" spans="1:28" ht="15.75" customHeight="1">
      <c r="A3" s="1625"/>
      <c r="B3" s="1814" t="s">
        <v>2</v>
      </c>
      <c r="C3" s="1814"/>
      <c r="D3" s="1814"/>
      <c r="E3" s="1814"/>
      <c r="F3" s="1814"/>
      <c r="G3" s="1814"/>
      <c r="H3" s="1814"/>
      <c r="I3" s="1814"/>
      <c r="J3" s="1814"/>
      <c r="K3" s="1814"/>
      <c r="L3" s="1814"/>
      <c r="M3" s="1814"/>
      <c r="N3" s="1814"/>
      <c r="O3" s="1814"/>
      <c r="P3" s="1814"/>
      <c r="Q3" s="1630"/>
      <c r="R3" s="1630"/>
      <c r="S3" s="1629"/>
      <c r="T3" s="1629"/>
      <c r="U3" s="1629"/>
      <c r="V3" s="1630"/>
      <c r="W3" s="1630"/>
      <c r="X3" s="1630"/>
      <c r="Y3" s="1630"/>
      <c r="Z3" s="1625"/>
      <c r="AA3" s="1627"/>
      <c r="AB3" s="1625"/>
    </row>
    <row r="4" spans="1:28" ht="17.25" customHeight="1">
      <c r="A4" s="1625"/>
      <c r="B4" s="1631"/>
      <c r="C4" s="1625"/>
      <c r="D4" s="1630"/>
      <c r="E4" s="1630"/>
      <c r="F4" s="1630"/>
      <c r="G4" s="1630"/>
      <c r="H4" s="1630"/>
      <c r="I4" s="1630"/>
      <c r="J4" s="1630"/>
      <c r="K4" s="1630"/>
      <c r="L4" s="1630"/>
      <c r="M4" s="1630"/>
      <c r="N4" s="1630"/>
      <c r="O4" s="1630"/>
      <c r="P4" s="1630"/>
      <c r="Q4" s="1630"/>
      <c r="R4" s="1630"/>
      <c r="S4" s="1630"/>
      <c r="T4" s="1630"/>
      <c r="U4" s="1630"/>
      <c r="V4" s="1630"/>
      <c r="W4" s="1630"/>
      <c r="X4" s="1630"/>
      <c r="Y4" s="1630"/>
      <c r="Z4" s="1625"/>
      <c r="AA4" s="1627"/>
      <c r="AB4" s="1625"/>
    </row>
    <row r="5" spans="1:28" ht="22.5" customHeight="1">
      <c r="A5" s="1632"/>
      <c r="B5" s="1815" t="str">
        <f>IF(TEMPLATE_SPHERE="","Информация, подлежащая раскрытию регулируемыми организациями",Титульный!E5)</f>
        <v>Общая информация о регулируемой организации (холодного водоснабжения)</v>
      </c>
      <c r="C5" s="1816"/>
      <c r="D5" s="1816"/>
      <c r="E5" s="1816"/>
      <c r="F5" s="1816"/>
      <c r="G5" s="1816"/>
      <c r="H5" s="1816"/>
      <c r="I5" s="1816"/>
      <c r="J5" s="1816"/>
      <c r="K5" s="1816"/>
      <c r="L5" s="1816"/>
      <c r="M5" s="1816"/>
      <c r="N5" s="1816"/>
      <c r="O5" s="1816"/>
      <c r="P5" s="1816"/>
      <c r="Q5" s="1816"/>
      <c r="R5" s="1816"/>
      <c r="S5" s="1816"/>
      <c r="T5" s="1816"/>
      <c r="U5" s="1816"/>
      <c r="V5" s="1816"/>
      <c r="W5" s="1816"/>
      <c r="X5" s="1816"/>
      <c r="Y5" s="1817"/>
      <c r="Z5" s="1632"/>
      <c r="AA5" s="1627"/>
      <c r="AB5" s="1632"/>
    </row>
    <row r="6" spans="1:28" ht="15" customHeight="1">
      <c r="A6" s="1633"/>
      <c r="B6" s="1805" t="s">
        <v>3</v>
      </c>
      <c r="C6" s="1808"/>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1805"/>
      <c r="C7" s="1808"/>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1805"/>
      <c r="C8" s="1808"/>
      <c r="D8" s="1639"/>
      <c r="E8" s="1640" t="s">
        <v>4</v>
      </c>
      <c r="F8" s="1818" t="s">
        <v>5</v>
      </c>
      <c r="G8" s="1807"/>
      <c r="H8" s="1807"/>
      <c r="I8" s="1807"/>
      <c r="J8" s="1807"/>
      <c r="K8" s="1807"/>
      <c r="L8" s="1807"/>
      <c r="M8" s="1807"/>
      <c r="N8" s="1639"/>
      <c r="O8" s="1641" t="s">
        <v>4</v>
      </c>
      <c r="P8" s="1819" t="s">
        <v>6</v>
      </c>
      <c r="Q8" s="1820"/>
      <c r="R8" s="1820"/>
      <c r="S8" s="1820"/>
      <c r="T8" s="1820"/>
      <c r="U8" s="1820"/>
      <c r="V8" s="1820"/>
      <c r="W8" s="1820"/>
      <c r="X8" s="1820"/>
      <c r="Y8" s="1635"/>
      <c r="Z8" s="1636"/>
      <c r="AA8" s="1637"/>
      <c r="AB8" s="1637"/>
    </row>
    <row r="9" spans="1:28" ht="15" customHeight="1">
      <c r="A9" s="1633"/>
      <c r="B9" s="1805"/>
      <c r="C9" s="1808"/>
      <c r="D9" s="1639"/>
      <c r="E9" s="1642" t="s">
        <v>4</v>
      </c>
      <c r="F9" s="1818" t="s">
        <v>7</v>
      </c>
      <c r="G9" s="1807"/>
      <c r="H9" s="1807"/>
      <c r="I9" s="1807"/>
      <c r="J9" s="1807"/>
      <c r="K9" s="1807"/>
      <c r="L9" s="1807"/>
      <c r="M9" s="1807"/>
      <c r="N9" s="1639"/>
      <c r="O9" s="1643" t="s">
        <v>4</v>
      </c>
      <c r="P9" s="1819" t="s">
        <v>8</v>
      </c>
      <c r="Q9" s="1820"/>
      <c r="R9" s="1820"/>
      <c r="S9" s="1820"/>
      <c r="T9" s="1820"/>
      <c r="U9" s="1820"/>
      <c r="V9" s="1820"/>
      <c r="W9" s="1820"/>
      <c r="X9" s="1820"/>
      <c r="Y9" s="1635"/>
      <c r="Z9" s="1636"/>
      <c r="AA9" s="1637"/>
      <c r="AB9" s="1637"/>
    </row>
    <row r="10" spans="1:28" ht="30" customHeight="1">
      <c r="A10" s="1633"/>
      <c r="B10" s="1805"/>
      <c r="C10" s="1806"/>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1803" t="s">
        <v>9</v>
      </c>
      <c r="C11" s="1804"/>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1805"/>
      <c r="C12" s="1806"/>
      <c r="D12" s="1647"/>
      <c r="E12" s="1807" t="s">
        <v>10</v>
      </c>
      <c r="F12" s="1807"/>
      <c r="G12" s="1807"/>
      <c r="H12" s="1807"/>
      <c r="I12" s="1807"/>
      <c r="J12" s="1807"/>
      <c r="K12" s="1807"/>
      <c r="L12" s="1807"/>
      <c r="M12" s="1807"/>
      <c r="N12" s="1807"/>
      <c r="O12" s="1807"/>
      <c r="P12" s="1807"/>
      <c r="Q12" s="1807"/>
      <c r="R12" s="1807"/>
      <c r="S12" s="1807"/>
      <c r="T12" s="1807"/>
      <c r="U12" s="1807"/>
      <c r="V12" s="1807"/>
      <c r="W12" s="1807"/>
      <c r="X12" s="1807"/>
      <c r="Y12" s="1635"/>
      <c r="Z12" s="1636"/>
      <c r="AA12" s="1637"/>
      <c r="AB12" s="1637"/>
    </row>
    <row r="13" spans="1:28" ht="15" customHeight="1">
      <c r="A13" s="1633"/>
      <c r="B13" s="1803" t="s">
        <v>11</v>
      </c>
      <c r="C13" s="1804"/>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1805"/>
      <c r="C14" s="1808"/>
      <c r="D14" s="1639"/>
      <c r="E14" s="1811" t="s">
        <v>12</v>
      </c>
      <c r="F14" s="1811"/>
      <c r="G14" s="1811"/>
      <c r="H14" s="1811"/>
      <c r="I14" s="1811"/>
      <c r="J14" s="1811"/>
      <c r="K14" s="1811"/>
      <c r="L14" s="1811"/>
      <c r="M14" s="1811"/>
      <c r="N14" s="1811"/>
      <c r="O14" s="1811"/>
      <c r="P14" s="1811"/>
      <c r="Q14" s="1811"/>
      <c r="R14" s="1811"/>
      <c r="S14" s="1811"/>
      <c r="T14" s="1811"/>
      <c r="U14" s="1811"/>
      <c r="V14" s="1811"/>
      <c r="W14" s="1811"/>
      <c r="X14" s="1811"/>
      <c r="Y14" s="1635"/>
      <c r="Z14" s="1636"/>
      <c r="AA14" s="1637"/>
      <c r="AB14" s="1637"/>
    </row>
    <row r="15" spans="1:28" ht="16.5" customHeight="1">
      <c r="A15" s="1633"/>
      <c r="B15" s="1809"/>
      <c r="C15" s="1810"/>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5"/>
      <c r="B16" s="1811"/>
      <c r="C16" s="1812"/>
      <c r="D16" s="1812"/>
      <c r="E16" s="1812"/>
      <c r="F16" s="1812"/>
      <c r="G16" s="1812"/>
      <c r="H16" s="1812"/>
      <c r="I16" s="1812"/>
      <c r="J16" s="1812"/>
      <c r="K16" s="1812"/>
      <c r="L16" s="1812"/>
      <c r="M16" s="1812"/>
      <c r="N16" s="1812"/>
      <c r="O16" s="1812"/>
      <c r="P16" s="1812"/>
      <c r="Q16" s="1812"/>
      <c r="R16" s="1812"/>
      <c r="S16" s="1812"/>
      <c r="T16" s="1812"/>
      <c r="U16" s="1812"/>
      <c r="V16" s="1812"/>
      <c r="W16" s="1812"/>
      <c r="X16" s="1812"/>
      <c r="Y16" s="1812"/>
      <c r="Z16" s="1625"/>
      <c r="AA16" s="1627"/>
      <c r="AB16" s="1625"/>
    </row>
    <row r="17" spans="1:28" ht="14.25" customHeight="1">
      <c r="A17" s="1625"/>
      <c r="B17" s="1625"/>
      <c r="C17" s="1625"/>
      <c r="D17" s="1625"/>
      <c r="E17" s="1625"/>
      <c r="F17" s="1625"/>
      <c r="G17" s="1625"/>
      <c r="H17" s="1625"/>
      <c r="I17" s="1625"/>
      <c r="J17" s="1625"/>
      <c r="K17" s="1625"/>
      <c r="L17" s="1625"/>
      <c r="M17" s="1625"/>
      <c r="N17" s="1625"/>
      <c r="O17" s="1625"/>
      <c r="P17" s="1625"/>
      <c r="Q17" s="1625"/>
      <c r="R17" s="1625"/>
      <c r="S17" s="1625"/>
      <c r="T17" s="1625"/>
      <c r="U17" s="1625"/>
      <c r="V17" s="1625"/>
      <c r="W17" s="1625"/>
      <c r="X17" s="1625"/>
      <c r="Y17" s="1626"/>
      <c r="Z17" s="1625"/>
      <c r="AA17" s="1627"/>
      <c r="AB17" s="1625"/>
    </row>
    <row r="18" spans="1:28" ht="14.25" customHeight="1">
      <c r="A18" s="1625"/>
      <c r="B18" s="1625"/>
      <c r="C18" s="1625"/>
      <c r="D18" s="1625"/>
      <c r="E18" s="1625"/>
      <c r="F18" s="1625"/>
      <c r="G18" s="1625"/>
      <c r="H18" s="1625"/>
      <c r="I18" s="1625"/>
      <c r="J18" s="1625"/>
      <c r="K18" s="1625"/>
      <c r="L18" s="1625"/>
      <c r="M18" s="1625"/>
      <c r="N18" s="1625"/>
      <c r="O18" s="1625"/>
      <c r="P18" s="1625"/>
      <c r="Q18" s="1625"/>
      <c r="R18" s="1625"/>
      <c r="S18" s="1625"/>
      <c r="T18" s="1625"/>
      <c r="U18" s="1625"/>
      <c r="V18" s="1625"/>
      <c r="W18" s="1625"/>
      <c r="X18" s="1625"/>
      <c r="Y18" s="1626"/>
      <c r="Z18" s="1625"/>
      <c r="AA18" s="1627"/>
      <c r="AB18" s="1625"/>
    </row>
    <row r="19" spans="1:28" ht="14.25" customHeight="1">
      <c r="A19" s="1625"/>
      <c r="B19" s="1625"/>
      <c r="C19" s="1625"/>
      <c r="D19" s="1625"/>
      <c r="E19" s="1625"/>
      <c r="F19" s="1625"/>
      <c r="G19" s="1625"/>
      <c r="H19" s="1625"/>
      <c r="I19" s="1625"/>
      <c r="J19" s="1625"/>
      <c r="K19" s="1625"/>
      <c r="L19" s="1625"/>
      <c r="M19" s="1625"/>
      <c r="N19" s="1625"/>
      <c r="O19" s="1625"/>
      <c r="P19" s="1625"/>
      <c r="Q19" s="1625"/>
      <c r="R19" s="1625"/>
      <c r="S19" s="1625"/>
      <c r="T19" s="1625"/>
      <c r="U19" s="1625"/>
      <c r="V19" s="1625"/>
      <c r="W19" s="1625"/>
      <c r="X19" s="1625"/>
      <c r="Y19" s="1626"/>
      <c r="Z19" s="1625"/>
      <c r="AA19" s="1627"/>
      <c r="AB19" s="1625"/>
    </row>
    <row r="20" spans="1:28" ht="14.25" customHeight="1">
      <c r="A20" s="1625"/>
      <c r="B20" s="1625"/>
      <c r="C20" s="1625"/>
      <c r="D20" s="1625"/>
      <c r="E20" s="1625"/>
      <c r="F20" s="1625"/>
      <c r="G20" s="1625"/>
      <c r="H20" s="1625"/>
      <c r="I20" s="1625"/>
      <c r="J20" s="1625"/>
      <c r="K20" s="1625"/>
      <c r="L20" s="1625"/>
      <c r="M20" s="1625"/>
      <c r="N20" s="1625"/>
      <c r="O20" s="1625"/>
      <c r="P20" s="1625"/>
      <c r="Q20" s="1625"/>
      <c r="R20" s="1625"/>
      <c r="S20" s="1625"/>
      <c r="T20" s="1625"/>
      <c r="U20" s="1625"/>
      <c r="V20" s="1625"/>
      <c r="W20" s="1625"/>
      <c r="X20" s="1625"/>
      <c r="Y20" s="1626"/>
      <c r="Z20" s="1625"/>
      <c r="AA20" s="1627"/>
      <c r="AB20" s="1625"/>
    </row>
    <row r="21" spans="1:28" ht="14.25" customHeight="1">
      <c r="A21" s="1625"/>
      <c r="B21" s="1625"/>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6"/>
      <c r="Z21" s="1625"/>
      <c r="AA21" s="1627"/>
      <c r="AB21" s="1625"/>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election activeCell="J18" sqref="J18"/>
    </sheetView>
  </sheetViews>
  <sheetFormatPr defaultColWidth="10.59765625" defaultRowHeight="14.25" customHeight="1"/>
  <cols>
    <col min="1" max="1" width="9.09765625" style="1557" hidden="1" customWidth="1"/>
    <col min="2" max="3" width="9.09765625" style="1560" hidden="1" customWidth="1"/>
    <col min="4" max="4" width="3.69921875" style="1770" customWidth="1"/>
    <col min="5" max="5" width="6.296875" style="1560" customWidth="1"/>
    <col min="6" max="6" width="1.69921875" style="1560" hidden="1" customWidth="1"/>
    <col min="7" max="8" width="30.69921875" style="1560" customWidth="1"/>
    <col min="9" max="9" width="9" style="1560" customWidth="1"/>
    <col min="10" max="10" width="12.09765625" style="1560" customWidth="1"/>
    <col min="11" max="11" width="46.69921875" style="1560" customWidth="1"/>
    <col min="12" max="12" width="100.296875" style="1560" customWidth="1"/>
    <col min="13" max="13" width="7.59765625" style="1748" customWidth="1"/>
    <col min="14" max="22" width="10.59765625" style="1560"/>
  </cols>
  <sheetData>
    <row r="1" spans="1:22" s="1567" customFormat="1" ht="5.25" hidden="1" customHeight="1">
      <c r="C1" s="437"/>
      <c r="D1" s="420"/>
      <c r="F1" s="437"/>
      <c r="G1" s="415" t="s">
        <v>82</v>
      </c>
      <c r="H1" s="415" t="s">
        <v>83</v>
      </c>
      <c r="I1" s="415" t="s">
        <v>84</v>
      </c>
      <c r="P1" s="415" t="s">
        <v>82</v>
      </c>
      <c r="Q1" s="415" t="s">
        <v>83</v>
      </c>
      <c r="R1" s="415" t="s">
        <v>84</v>
      </c>
    </row>
    <row r="2" spans="1:22" s="1567" customFormat="1" ht="5.25" hidden="1" customHeight="1">
      <c r="C2" s="437"/>
      <c r="D2" s="420"/>
      <c r="F2" s="437"/>
    </row>
    <row r="3" spans="1:22" s="1538" customFormat="1" ht="6" customHeight="1">
      <c r="A3" s="405"/>
      <c r="D3" s="412"/>
      <c r="E3" s="407"/>
      <c r="F3" s="407"/>
      <c r="G3" s="407"/>
      <c r="H3" s="407"/>
      <c r="I3" s="408"/>
      <c r="J3" s="409"/>
      <c r="K3" s="409"/>
      <c r="L3" s="409"/>
    </row>
    <row r="4" spans="1:22" ht="22.5" customHeight="1">
      <c r="D4" s="377"/>
      <c r="E4" s="1833" t="s">
        <v>390</v>
      </c>
      <c r="F4" s="1833"/>
      <c r="G4" s="1834"/>
      <c r="H4" s="1834"/>
      <c r="I4" s="1835"/>
      <c r="J4" s="417"/>
      <c r="K4" s="379"/>
      <c r="L4" s="379"/>
    </row>
    <row r="5" spans="1:22" s="1560" customFormat="1" ht="17.25" customHeight="1">
      <c r="A5" s="678"/>
      <c r="D5" s="740"/>
      <c r="E5" s="1940" t="str">
        <f>IF(org=0,"Не определено",org)</f>
        <v>НАО "СВЕЗА Мантурово"</v>
      </c>
      <c r="F5" s="1940"/>
      <c r="G5" s="1941"/>
      <c r="H5" s="1941"/>
      <c r="I5" s="1942"/>
      <c r="J5" s="417"/>
      <c r="K5" s="379"/>
      <c r="L5" s="379"/>
      <c r="M5" s="433"/>
    </row>
    <row r="6" spans="1:22" s="1538" customFormat="1" ht="11.25" customHeight="1">
      <c r="A6" s="405"/>
      <c r="D6" s="412"/>
      <c r="E6" s="407"/>
      <c r="F6" s="407"/>
      <c r="G6" s="410"/>
      <c r="H6" s="410"/>
      <c r="I6" s="411"/>
      <c r="J6" s="411"/>
      <c r="K6" s="671"/>
      <c r="L6" s="411"/>
    </row>
    <row r="7" spans="1:22" ht="14.25" customHeight="1">
      <c r="D7" s="377"/>
      <c r="E7" s="1924" t="s">
        <v>282</v>
      </c>
      <c r="F7" s="1924"/>
      <c r="G7" s="1925"/>
      <c r="H7" s="1925"/>
      <c r="I7" s="1925"/>
      <c r="J7" s="1925"/>
      <c r="K7" s="1925"/>
      <c r="L7" s="1892" t="s">
        <v>283</v>
      </c>
    </row>
    <row r="8" spans="1:22" ht="45" customHeight="1">
      <c r="D8" s="377"/>
      <c r="E8" s="399" t="s">
        <v>87</v>
      </c>
      <c r="F8" s="741"/>
      <c r="G8" s="391" t="s">
        <v>85</v>
      </c>
      <c r="H8" s="391" t="s">
        <v>86</v>
      </c>
      <c r="I8" s="344" t="s">
        <v>84</v>
      </c>
      <c r="J8" s="344" t="s">
        <v>391</v>
      </c>
      <c r="K8" s="344" t="s">
        <v>392</v>
      </c>
      <c r="L8" s="1892"/>
    </row>
    <row r="9" spans="1:22" ht="12" hidden="1" customHeight="1">
      <c r="D9" s="413"/>
      <c r="E9" s="419"/>
      <c r="F9" s="748"/>
      <c r="G9" s="419"/>
      <c r="H9" s="419"/>
      <c r="I9" s="419"/>
      <c r="J9" s="419"/>
      <c r="K9" s="419"/>
      <c r="L9" s="419"/>
      <c r="M9" s="375"/>
    </row>
    <row r="10" spans="1:22" ht="14.25" hidden="1" customHeight="1">
      <c r="A10" s="431"/>
      <c r="B10" s="431"/>
      <c r="D10" s="432"/>
      <c r="E10" s="438">
        <v>0</v>
      </c>
      <c r="F10" s="739"/>
      <c r="G10" s="434"/>
      <c r="H10" s="434"/>
      <c r="I10" s="434"/>
      <c r="J10" s="434"/>
      <c r="K10" s="434"/>
      <c r="L10" s="1938" t="s">
        <v>393</v>
      </c>
      <c r="M10" s="433"/>
      <c r="N10" s="431"/>
      <c r="O10" s="431"/>
      <c r="P10" s="431"/>
      <c r="Q10" s="431"/>
      <c r="R10" s="431"/>
      <c r="S10" s="431"/>
      <c r="T10" s="431"/>
      <c r="U10" s="431"/>
      <c r="V10" s="431"/>
    </row>
    <row r="11" spans="1:22" ht="15" hidden="1" customHeight="1">
      <c r="A11" s="1825"/>
      <c r="B11" s="430"/>
      <c r="C11" s="430"/>
      <c r="D11" s="782"/>
      <c r="E11" s="439"/>
      <c r="F11" s="439"/>
      <c r="G11" s="439"/>
      <c r="H11" s="439"/>
      <c r="I11" s="440"/>
      <c r="J11" s="441"/>
      <c r="K11" s="632"/>
      <c r="L11" s="1951"/>
      <c r="M11" s="437"/>
      <c r="N11" s="437"/>
      <c r="O11" s="437"/>
      <c r="P11" s="442"/>
      <c r="Q11" s="442"/>
      <c r="R11" s="443"/>
      <c r="S11" s="437"/>
      <c r="T11" s="437"/>
      <c r="U11" s="437"/>
      <c r="V11" s="437"/>
    </row>
    <row r="12" spans="1:22" s="1538" customFormat="1" ht="14.25" customHeight="1">
      <c r="A12" s="1825"/>
      <c r="B12" s="430"/>
      <c r="C12" s="430"/>
      <c r="D12" s="783"/>
      <c r="E12" s="741">
        <v>1</v>
      </c>
      <c r="F12" s="781" t="s">
        <v>394</v>
      </c>
      <c r="G12" s="780" t="s">
        <v>395</v>
      </c>
      <c r="H12" s="711" t="s">
        <v>395</v>
      </c>
      <c r="I12" s="709" t="s">
        <v>396</v>
      </c>
      <c r="J12" s="446" t="s">
        <v>56</v>
      </c>
      <c r="K12" s="1800" t="s">
        <v>18</v>
      </c>
      <c r="L12" s="1951"/>
      <c r="M12" s="437"/>
      <c r="N12" s="437"/>
      <c r="O12" s="437"/>
      <c r="P12" s="442" t="s">
        <v>397</v>
      </c>
      <c r="Q12" s="442" t="s">
        <v>398</v>
      </c>
      <c r="R12" s="443" t="s">
        <v>399</v>
      </c>
      <c r="S12" s="437" t="s">
        <v>400</v>
      </c>
      <c r="T12" s="437"/>
      <c r="U12" s="437"/>
      <c r="V12" s="437"/>
    </row>
    <row r="13" spans="1:22" ht="15" customHeight="1">
      <c r="A13" s="1825"/>
      <c r="B13" s="431"/>
      <c r="D13" s="432"/>
      <c r="E13" s="335"/>
      <c r="F13" s="455"/>
      <c r="G13" s="346" t="s">
        <v>98</v>
      </c>
      <c r="H13" s="334"/>
      <c r="I13" s="334"/>
      <c r="J13" s="334"/>
      <c r="K13" s="333"/>
      <c r="L13" s="1939"/>
      <c r="M13" s="435"/>
      <c r="N13" s="431"/>
      <c r="O13" s="431"/>
      <c r="P13" s="431"/>
      <c r="Q13" s="431"/>
      <c r="R13" s="431"/>
      <c r="S13" s="431"/>
      <c r="T13" s="431"/>
      <c r="U13" s="431"/>
      <c r="V13" s="431"/>
    </row>
    <row r="14" spans="1:22" ht="11.25" customHeight="1">
      <c r="A14" s="405"/>
      <c r="B14" s="406"/>
      <c r="C14" s="406"/>
      <c r="D14" s="421"/>
      <c r="E14" s="406"/>
      <c r="F14" s="406"/>
      <c r="G14" s="406"/>
      <c r="H14" s="406"/>
      <c r="I14" s="406"/>
      <c r="J14" s="406"/>
      <c r="K14" s="406"/>
      <c r="L14" s="406"/>
      <c r="M14" s="406"/>
      <c r="N14" s="406"/>
      <c r="O14" s="406"/>
      <c r="P14" s="406"/>
      <c r="Q14" s="406"/>
      <c r="R14" s="406"/>
      <c r="S14" s="406"/>
      <c r="T14" s="406"/>
      <c r="U14" s="406"/>
      <c r="V14" s="406"/>
    </row>
    <row r="15" spans="1:22" ht="14.25" customHeight="1">
      <c r="D15" s="392"/>
      <c r="E15" s="258"/>
      <c r="F15" s="258"/>
      <c r="G15" s="58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92"/>
      <c r="I15" s="392"/>
      <c r="J15" s="392"/>
      <c r="K15" s="392"/>
      <c r="L15" s="392"/>
    </row>
    <row r="18" spans="7:7" ht="14.25" customHeight="1">
      <c r="G18" s="431"/>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3"/>
  <sheetViews>
    <sheetView showGridLines="0" zoomScale="85" workbookViewId="0"/>
  </sheetViews>
  <sheetFormatPr defaultRowHeight="17.149999999999999" customHeight="1"/>
  <cols>
    <col min="1" max="1" width="26.59765625" style="1796" customWidth="1"/>
    <col min="2" max="2" width="10" style="1796" customWidth="1"/>
    <col min="3" max="3" width="9.09765625" style="1796"/>
    <col min="4" max="4" width="11.09765625" style="1796" customWidth="1"/>
    <col min="5" max="5" width="16.59765625" style="1796" customWidth="1"/>
    <col min="6" max="6" width="16.296875" style="1796" customWidth="1"/>
    <col min="7" max="7" width="19.09765625" style="1796" customWidth="1"/>
    <col min="8" max="11" width="10" style="1796" customWidth="1"/>
    <col min="12" max="12" width="12.69921875" style="1796" customWidth="1"/>
    <col min="13" max="13" width="61.296875" style="1796" customWidth="1"/>
    <col min="14" max="14" width="10" style="1796" customWidth="1"/>
    <col min="15" max="17" width="23.69921875" style="1796" customWidth="1"/>
    <col min="18" max="18" width="11.69921875" style="1796" customWidth="1"/>
    <col min="19" max="19" width="8.59765625" style="1796" customWidth="1"/>
    <col min="20" max="20" width="11.69921875" style="1796" customWidth="1"/>
    <col min="21" max="21" width="8.59765625" style="1796" customWidth="1"/>
    <col min="22" max="22" width="4.69921875" style="1796" customWidth="1"/>
    <col min="23" max="23" width="115.69921875" style="1796" customWidth="1"/>
    <col min="24" max="24" width="115.296875" style="1796" customWidth="1"/>
    <col min="25" max="27" width="9.09765625" style="1796"/>
    <col min="28" max="28" width="115.69921875" style="1796" customWidth="1"/>
    <col min="29" max="29" width="9.09765625" style="1796"/>
    <col min="30" max="90" width="115.69921875" style="1796" customWidth="1"/>
    <col min="91" max="184" width="9.09765625" style="1796"/>
  </cols>
  <sheetData>
    <row r="2" spans="1:80" s="1744" customFormat="1" ht="17.25" customHeight="1">
      <c r="A2" s="1744" t="s">
        <v>401</v>
      </c>
    </row>
    <row r="4" spans="1:80" s="179" customFormat="1" ht="15" customHeight="1">
      <c r="C4" s="1745"/>
      <c r="D4" s="39"/>
      <c r="E4" s="303"/>
    </row>
    <row r="6" spans="1:80" s="1744" customFormat="1" ht="17.25" customHeight="1">
      <c r="A6" s="1744" t="s">
        <v>402</v>
      </c>
    </row>
    <row r="8" spans="1:80" s="179" customFormat="1" ht="17.25" customHeight="1">
      <c r="C8" s="1746"/>
      <c r="D8" s="39"/>
      <c r="E8" s="40"/>
    </row>
    <row r="11" spans="1:80" s="1744" customFormat="1" ht="17.25" customHeight="1">
      <c r="A11" s="1744" t="s">
        <v>403</v>
      </c>
    </row>
    <row r="13" spans="1:80" s="1748" customFormat="1" ht="15" customHeight="1">
      <c r="A13" s="1943">
        <v>1</v>
      </c>
      <c r="B13" s="1070"/>
      <c r="C13" s="719" t="s">
        <v>332</v>
      </c>
      <c r="D13" s="1747"/>
      <c r="E13" s="1734">
        <f>A13</f>
        <v>1</v>
      </c>
      <c r="F13" s="722"/>
      <c r="G13" s="465" t="str">
        <f>"Территория "&amp;E13</f>
        <v>Территория 1</v>
      </c>
      <c r="H13" s="710"/>
      <c r="I13" s="710"/>
      <c r="J13" s="707"/>
      <c r="K13" s="1549"/>
      <c r="L13" s="1549"/>
      <c r="M13" s="1549"/>
      <c r="N13" s="143"/>
      <c r="O13" s="1549"/>
      <c r="P13" s="142"/>
      <c r="Q13" s="142"/>
      <c r="R13" s="142"/>
      <c r="S13" s="142"/>
    </row>
    <row r="14" spans="1:80" s="1796" customFormat="1" ht="15" customHeight="1">
      <c r="A14" s="1943"/>
      <c r="B14" s="1070">
        <v>1</v>
      </c>
      <c r="C14" s="1070"/>
      <c r="D14" s="718" t="s">
        <v>332</v>
      </c>
      <c r="E14" s="1742" t="str">
        <f>A13&amp;"."&amp;B14</f>
        <v>1.1</v>
      </c>
      <c r="F14" s="721">
        <f>$F$16</f>
        <v>0</v>
      </c>
      <c r="G14" s="711"/>
      <c r="H14" s="711"/>
      <c r="I14" s="709"/>
      <c r="J14" s="1549" t="e">
        <f ca="1">MERGEVALUE(G14)</f>
        <v>#NAME?</v>
      </c>
      <c r="K14" s="1561"/>
      <c r="L14" s="1561"/>
      <c r="M14" s="1549" t="str">
        <f t="array" ref="M14">IF(ISERROR(MATCH(MID(N14,1,250),MID(note_ter,1,250),0)),"n","y")</f>
        <v>n</v>
      </c>
      <c r="N14" s="1561"/>
      <c r="O14" s="1549" t="str">
        <f>H14&amp;"("&amp;I14&amp;")"</f>
        <v>()</v>
      </c>
      <c r="P14" s="1070"/>
      <c r="Q14" s="1070"/>
      <c r="R14" s="349"/>
      <c r="S14" s="1070"/>
      <c r="T14" s="1070"/>
      <c r="U14" s="1070"/>
      <c r="V14" s="351"/>
      <c r="W14" s="351"/>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8"/>
      <c r="AW14" s="348"/>
      <c r="AX14" s="348"/>
      <c r="AY14" s="348"/>
      <c r="AZ14" s="348"/>
      <c r="BA14" s="348"/>
      <c r="BB14" s="348"/>
      <c r="BC14" s="348"/>
      <c r="BD14" s="348"/>
      <c r="BE14" s="348"/>
      <c r="BF14" s="348"/>
      <c r="BG14" s="348"/>
      <c r="BH14" s="348"/>
      <c r="BI14" s="348"/>
      <c r="BJ14" s="348"/>
      <c r="BK14" s="348"/>
      <c r="BL14" s="348"/>
      <c r="BM14" s="348"/>
      <c r="BN14" s="348"/>
      <c r="BO14" s="348"/>
      <c r="BP14" s="348"/>
      <c r="BQ14" s="348"/>
      <c r="BR14" s="348"/>
      <c r="BS14" s="351"/>
      <c r="BT14" s="351"/>
      <c r="BU14" s="351"/>
      <c r="BV14" s="351"/>
      <c r="BW14" s="351"/>
      <c r="BX14" s="351"/>
      <c r="BY14" s="351"/>
      <c r="BZ14" s="351"/>
      <c r="CA14" s="351"/>
      <c r="CB14" s="351"/>
    </row>
    <row r="15" spans="1:80" s="1796" customFormat="1" ht="15" customHeight="1">
      <c r="A15" s="1943"/>
      <c r="B15" s="1070"/>
      <c r="C15" s="342"/>
      <c r="D15" s="719"/>
      <c r="E15" s="350"/>
      <c r="F15" s="95"/>
      <c r="G15" s="345" t="s">
        <v>98</v>
      </c>
      <c r="H15" s="105"/>
      <c r="I15" s="352"/>
      <c r="J15" s="1561"/>
      <c r="K15" s="1561"/>
      <c r="L15" s="1561"/>
      <c r="M15" s="1561"/>
      <c r="N15" s="1549"/>
      <c r="O15" s="1561"/>
      <c r="P15" s="1070"/>
      <c r="Q15" s="1070"/>
      <c r="R15" s="349"/>
      <c r="S15" s="1070"/>
      <c r="T15" s="1070"/>
      <c r="U15" s="1070"/>
      <c r="V15" s="351"/>
      <c r="W15" s="351"/>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c r="BR15" s="348"/>
      <c r="BS15" s="351"/>
      <c r="BT15" s="351"/>
      <c r="BU15" s="351"/>
      <c r="BV15" s="351"/>
      <c r="BW15" s="351"/>
      <c r="BX15" s="351"/>
      <c r="BY15" s="351"/>
      <c r="BZ15" s="351"/>
      <c r="CA15" s="351"/>
      <c r="CB15" s="351"/>
    </row>
    <row r="17" spans="1:38" s="1796" customFormat="1" ht="15" customHeight="1">
      <c r="A17" s="1744" t="s">
        <v>404</v>
      </c>
      <c r="B17" s="1744"/>
      <c r="C17" s="1744"/>
      <c r="D17" s="1744"/>
      <c r="E17" s="1744"/>
      <c r="F17" s="1744"/>
      <c r="G17" s="1744"/>
      <c r="H17" s="1744"/>
      <c r="I17" s="1744"/>
      <c r="J17" s="1744"/>
      <c r="K17" s="1744"/>
      <c r="L17" s="1744"/>
      <c r="M17" s="1744"/>
      <c r="N17" s="1744"/>
      <c r="O17" s="1744"/>
      <c r="P17" s="1744"/>
      <c r="Q17" s="1744"/>
      <c r="R17" s="1744"/>
      <c r="S17" s="1744"/>
      <c r="T17" s="1744"/>
      <c r="U17" s="102"/>
      <c r="V17" s="1744"/>
      <c r="W17" s="1744"/>
    </row>
    <row r="18" spans="1:38" s="1796" customFormat="1" ht="15" customHeight="1">
      <c r="U18" s="103"/>
    </row>
    <row r="19" spans="1:38" s="1781" customFormat="1" ht="15" customHeight="1">
      <c r="A19"/>
      <c r="B19"/>
      <c r="C19" s="1652" t="s">
        <v>332</v>
      </c>
      <c r="D19" s="1851" t="s">
        <v>105</v>
      </c>
      <c r="E19" s="1995"/>
      <c r="F19" s="1850" t="s">
        <v>56</v>
      </c>
      <c r="G19" s="1996"/>
      <c r="H19" s="1840">
        <v>1</v>
      </c>
      <c r="I19" s="1998" t="str">
        <f>IF(U19="","",INDEX(TERRITORY_MR_LIST,MATCH(U19,TERRITORY_LIST_ID,0)))</f>
        <v/>
      </c>
      <c r="J19" s="1850" t="s">
        <v>56</v>
      </c>
      <c r="K19" s="750"/>
      <c r="L19" s="1710" t="s">
        <v>105</v>
      </c>
      <c r="M19" s="525"/>
      <c r="N19" s="526"/>
      <c r="O19" s="526"/>
      <c r="P19" s="526"/>
      <c r="Q19" s="526"/>
      <c r="R19" s="526"/>
      <c r="S19" s="526"/>
      <c r="T19" s="526"/>
      <c r="U19" s="527"/>
      <c r="V19" s="526"/>
      <c r="W19" s="526"/>
      <c r="X19" s="518"/>
      <c r="Y19" s="518" t="s">
        <v>114</v>
      </c>
      <c r="Z19" s="518">
        <v>1705000</v>
      </c>
      <c r="AA19" s="518"/>
      <c r="AB19" s="518"/>
      <c r="AC19" s="518"/>
      <c r="AD19" s="518"/>
      <c r="AE19" s="518"/>
      <c r="AF19" s="518"/>
      <c r="AG19" s="518"/>
      <c r="AH19" s="518"/>
      <c r="AI19" s="518"/>
      <c r="AJ19" s="518"/>
      <c r="AK19" s="518"/>
      <c r="AL19" s="518"/>
    </row>
    <row r="20" spans="1:38" s="1781" customFormat="1" ht="15" customHeight="1">
      <c r="A20"/>
      <c r="B20"/>
      <c r="C20" s="94"/>
      <c r="D20" s="1851"/>
      <c r="E20" s="1995"/>
      <c r="F20" s="1850"/>
      <c r="G20" s="1997"/>
      <c r="H20" s="1840"/>
      <c r="I20" s="1999"/>
      <c r="J20" s="1850"/>
      <c r="K20" s="350"/>
      <c r="L20" s="95"/>
      <c r="M20" s="528" t="s">
        <v>115</v>
      </c>
      <c r="N20" s="526"/>
      <c r="O20" s="526"/>
      <c r="P20" s="526"/>
      <c r="Q20" s="526"/>
      <c r="R20" s="526"/>
      <c r="S20" s="526"/>
      <c r="T20" s="526"/>
      <c r="U20" s="527"/>
      <c r="V20" s="526"/>
      <c r="W20" s="526"/>
      <c r="X20" s="518"/>
      <c r="Y20" s="518"/>
      <c r="Z20" s="518"/>
      <c r="AA20" s="518"/>
      <c r="AB20" s="518"/>
      <c r="AC20" s="518"/>
      <c r="AD20" s="518"/>
      <c r="AE20" s="518"/>
      <c r="AF20" s="518"/>
      <c r="AG20" s="518"/>
      <c r="AH20" s="518"/>
      <c r="AI20" s="518"/>
      <c r="AJ20" s="518"/>
      <c r="AK20" s="518"/>
      <c r="AL20" s="518"/>
    </row>
    <row r="21" spans="1:38" s="1781" customFormat="1" ht="15" customHeight="1">
      <c r="A21"/>
      <c r="B21"/>
      <c r="C21" s="94"/>
      <c r="D21" s="1851"/>
      <c r="E21" s="1995"/>
      <c r="F21" s="1850"/>
      <c r="G21" s="350"/>
      <c r="H21" s="95"/>
      <c r="I21" s="505" t="s">
        <v>116</v>
      </c>
      <c r="J21" s="95"/>
      <c r="K21" s="95"/>
      <c r="L21" s="95"/>
      <c r="M21" s="529"/>
      <c r="N21" s="526"/>
      <c r="O21" s="526"/>
      <c r="P21" s="526"/>
      <c r="Q21" s="526"/>
      <c r="R21" s="526"/>
      <c r="S21" s="526"/>
      <c r="T21" s="526"/>
      <c r="U21" s="527"/>
      <c r="V21" s="526"/>
      <c r="W21" s="526"/>
      <c r="X21" s="518"/>
      <c r="Y21" s="518"/>
      <c r="Z21" s="518"/>
      <c r="AA21" s="518"/>
      <c r="AB21" s="518"/>
      <c r="AC21" s="518"/>
      <c r="AD21" s="518"/>
      <c r="AE21" s="518"/>
      <c r="AF21" s="518"/>
      <c r="AG21" s="518"/>
      <c r="AH21" s="518"/>
      <c r="AI21" s="518"/>
      <c r="AJ21" s="518"/>
      <c r="AK21" s="518"/>
      <c r="AL21" s="518"/>
    </row>
    <row r="22" spans="1:38" s="1796" customFormat="1" ht="15" customHeight="1">
      <c r="U22" s="103"/>
    </row>
    <row r="23" spans="1:38" s="1796" customFormat="1" ht="15" customHeight="1">
      <c r="A23" s="1744" t="s">
        <v>405</v>
      </c>
      <c r="B23" s="1744"/>
      <c r="C23" s="1744"/>
      <c r="D23" s="1744"/>
      <c r="E23" s="1744"/>
      <c r="F23" s="1744"/>
      <c r="G23" s="1744"/>
      <c r="H23" s="1744"/>
      <c r="I23" s="1744"/>
      <c r="J23" s="1744"/>
      <c r="K23" s="1744"/>
      <c r="L23" s="1744"/>
      <c r="M23" s="1744"/>
      <c r="N23" s="1744"/>
      <c r="O23" s="1744"/>
      <c r="P23" s="1744"/>
      <c r="Q23" s="1744"/>
      <c r="R23" s="1744"/>
      <c r="S23" s="1744"/>
      <c r="T23" s="1744"/>
      <c r="U23" s="102"/>
      <c r="V23" s="1744"/>
      <c r="W23" s="1744"/>
    </row>
    <row r="24" spans="1:38" s="1796" customFormat="1" ht="15" customHeight="1">
      <c r="U24" s="103"/>
    </row>
    <row r="25" spans="1:38" s="1781" customFormat="1" ht="15" customHeight="1">
      <c r="A25"/>
      <c r="B25"/>
      <c r="C25" s="94"/>
      <c r="D25" s="1749"/>
      <c r="E25" s="1749"/>
      <c r="F25" s="1749"/>
      <c r="G25" s="2000" t="s">
        <v>332</v>
      </c>
      <c r="H25" s="1821">
        <v>1</v>
      </c>
      <c r="I25" s="2001" t="str">
        <f>IF(U25="","",INDEX(TERRITORY_MR_LIST,MATCH(U25,TERRITORY_LIST_ID,0)))</f>
        <v/>
      </c>
      <c r="J25" s="1850" t="s">
        <v>56</v>
      </c>
      <c r="K25" s="750"/>
      <c r="L25" s="1710" t="s">
        <v>105</v>
      </c>
      <c r="M25" s="525"/>
      <c r="N25" s="526"/>
      <c r="O25" s="526"/>
      <c r="P25" s="526"/>
      <c r="Q25" s="526"/>
      <c r="R25" s="526"/>
      <c r="S25" s="526"/>
      <c r="T25" s="526"/>
      <c r="U25" s="527"/>
      <c r="V25" s="526"/>
      <c r="W25" s="526"/>
      <c r="X25" s="518"/>
      <c r="Y25" s="518" t="s">
        <v>114</v>
      </c>
      <c r="Z25" s="518">
        <v>1705000</v>
      </c>
      <c r="AA25" s="518"/>
      <c r="AB25" s="518"/>
      <c r="AC25" s="518"/>
      <c r="AD25" s="518"/>
      <c r="AE25" s="518"/>
      <c r="AF25" s="518"/>
      <c r="AG25" s="518"/>
      <c r="AH25" s="518"/>
      <c r="AI25" s="518"/>
      <c r="AJ25" s="518"/>
      <c r="AK25" s="518"/>
      <c r="AL25" s="518"/>
    </row>
    <row r="26" spans="1:38" s="1781" customFormat="1" ht="15" customHeight="1">
      <c r="A26"/>
      <c r="B26"/>
      <c r="C26" s="94"/>
      <c r="D26" s="1749"/>
      <c r="E26" s="1749"/>
      <c r="F26" s="1749"/>
      <c r="G26" s="2000"/>
      <c r="H26" s="1821"/>
      <c r="I26" s="2001"/>
      <c r="J26" s="1850"/>
      <c r="K26" s="350"/>
      <c r="L26" s="95"/>
      <c r="M26" s="528" t="s">
        <v>115</v>
      </c>
      <c r="N26" s="526"/>
      <c r="O26" s="526"/>
      <c r="P26" s="526"/>
      <c r="Q26" s="526"/>
      <c r="R26" s="526"/>
      <c r="S26" s="526"/>
      <c r="T26" s="526"/>
      <c r="U26" s="527"/>
      <c r="V26" s="526"/>
      <c r="W26" s="526"/>
      <c r="X26" s="518"/>
      <c r="Y26" s="518"/>
      <c r="Z26" s="518"/>
      <c r="AA26" s="518"/>
      <c r="AB26" s="518"/>
      <c r="AC26" s="518"/>
      <c r="AD26" s="518"/>
      <c r="AE26" s="518"/>
      <c r="AF26" s="518"/>
      <c r="AG26" s="518"/>
      <c r="AH26" s="518"/>
      <c r="AI26" s="518"/>
      <c r="AJ26" s="518"/>
      <c r="AK26" s="518"/>
      <c r="AL26" s="518"/>
    </row>
    <row r="27" spans="1:38" s="1796" customFormat="1" ht="15" customHeight="1">
      <c r="U27" s="103"/>
    </row>
    <row r="28" spans="1:38" s="1796" customFormat="1" ht="15" customHeight="1">
      <c r="A28" s="1744" t="s">
        <v>406</v>
      </c>
      <c r="B28" s="1744"/>
      <c r="C28" s="1744"/>
      <c r="D28" s="1744"/>
      <c r="E28" s="1744"/>
      <c r="F28" s="1744"/>
      <c r="G28" s="1744"/>
      <c r="H28" s="1744"/>
      <c r="I28" s="1744"/>
      <c r="J28" s="1744"/>
      <c r="K28" s="1744"/>
      <c r="L28" s="1744"/>
      <c r="M28" s="1744"/>
      <c r="N28" s="1744"/>
      <c r="O28" s="1744"/>
      <c r="P28" s="1744"/>
      <c r="Q28" s="1744"/>
      <c r="R28" s="1744"/>
      <c r="S28" s="1744"/>
      <c r="T28" s="1744"/>
      <c r="U28" s="102"/>
      <c r="V28" s="1744"/>
      <c r="W28" s="1744"/>
    </row>
    <row r="29" spans="1:38" s="1796" customFormat="1" ht="15" customHeight="1">
      <c r="U29" s="103"/>
    </row>
    <row r="30" spans="1:38" s="1781" customFormat="1" ht="15" customHeight="1">
      <c r="A30"/>
      <c r="B30"/>
      <c r="C30" s="94"/>
      <c r="D30" s="1749"/>
      <c r="E30" s="1749"/>
      <c r="F30" s="1749"/>
      <c r="G30" s="1749"/>
      <c r="H30" s="1749"/>
      <c r="I30" s="1749"/>
      <c r="J30" s="1749"/>
      <c r="K30" s="1728" t="s">
        <v>332</v>
      </c>
      <c r="L30" s="1653" t="s">
        <v>105</v>
      </c>
      <c r="M30" s="729"/>
      <c r="N30" s="730"/>
      <c r="O30" s="526"/>
      <c r="P30" s="526"/>
      <c r="Q30" s="526"/>
      <c r="R30" s="526"/>
      <c r="S30" s="526"/>
      <c r="T30" s="526"/>
      <c r="U30" s="527"/>
      <c r="V30" s="526"/>
      <c r="W30" s="526"/>
      <c r="X30" s="518"/>
      <c r="Y30" s="518" t="s">
        <v>114</v>
      </c>
      <c r="Z30" s="518">
        <v>1705000</v>
      </c>
      <c r="AA30" s="518"/>
      <c r="AB30" s="518"/>
      <c r="AC30" s="518"/>
      <c r="AD30" s="518"/>
      <c r="AE30" s="518"/>
      <c r="AF30" s="518"/>
      <c r="AG30" s="518"/>
      <c r="AH30" s="518"/>
      <c r="AI30" s="518"/>
      <c r="AJ30" s="518"/>
      <c r="AK30" s="518"/>
      <c r="AL30" s="518"/>
    </row>
    <row r="31" spans="1:38" s="1796" customFormat="1" ht="15" customHeight="1">
      <c r="U31" s="103"/>
    </row>
    <row r="32" spans="1:38" s="1796" customFormat="1" ht="15" customHeight="1">
      <c r="U32" s="103"/>
    </row>
    <row r="33" spans="1:45" s="1744" customFormat="1" ht="11.25" customHeight="1">
      <c r="A33" s="1744" t="s">
        <v>407</v>
      </c>
    </row>
    <row r="34" spans="1:45" ht="11.25" customHeight="1"/>
    <row r="35" spans="1:45" s="381" customFormat="1" ht="22.5" customHeight="1">
      <c r="A35" s="1719"/>
      <c r="B35" s="383"/>
      <c r="C35" s="777"/>
      <c r="D35" s="368"/>
      <c r="E35" s="778"/>
      <c r="F35" s="1741"/>
      <c r="G35" s="1750"/>
      <c r="H35" s="401"/>
    </row>
    <row r="36" spans="1:45" ht="11.25" customHeight="1"/>
    <row r="37" spans="1:45" s="1744" customFormat="1" ht="11.25" customHeight="1">
      <c r="A37" s="1744" t="s">
        <v>408</v>
      </c>
    </row>
    <row r="38" spans="1:45" ht="11.25" customHeight="1"/>
    <row r="39" spans="1:45" s="381" customFormat="1" ht="22.5" customHeight="1">
      <c r="A39" s="383"/>
      <c r="B39" s="383"/>
      <c r="C39" s="383"/>
      <c r="D39" s="368"/>
      <c r="E39" s="778"/>
      <c r="F39" s="779"/>
      <c r="G39" s="1750"/>
      <c r="H39" s="401"/>
    </row>
    <row r="42" spans="1:45" s="1744" customFormat="1" ht="17.25" customHeight="1">
      <c r="A42" s="1744" t="s">
        <v>409</v>
      </c>
    </row>
    <row r="44" spans="1:45" s="1538" customFormat="1" ht="18.75" customHeight="1">
      <c r="A44"/>
      <c r="B44" s="1751"/>
      <c r="C44" s="1751"/>
      <c r="D44" s="1752"/>
      <c r="E44" s="1738"/>
      <c r="F44" s="785">
        <v>13</v>
      </c>
      <c r="G44" s="784"/>
      <c r="H44" s="711"/>
      <c r="I44" s="709"/>
      <c r="J44" s="446" t="s">
        <v>58</v>
      </c>
      <c r="K44" s="1753" t="s">
        <v>18</v>
      </c>
      <c r="L44"/>
      <c r="M44" s="1561"/>
      <c r="N44" s="1561"/>
      <c r="O44" s="1561"/>
      <c r="P44" s="442" t="s">
        <v>397</v>
      </c>
      <c r="Q44" s="442" t="s">
        <v>398</v>
      </c>
      <c r="R44" s="443" t="s">
        <v>399</v>
      </c>
      <c r="S44" s="1561" t="s">
        <v>400</v>
      </c>
      <c r="T44" s="1561"/>
      <c r="U44" s="1561"/>
      <c r="V44" s="1561"/>
    </row>
    <row r="46" spans="1:45" s="1744" customFormat="1" ht="11.25" customHeight="1">
      <c r="A46" s="1744" t="s">
        <v>410</v>
      </c>
    </row>
    <row r="48" spans="1:45" s="1560" customFormat="1" ht="15" customHeight="1">
      <c r="C48" s="1754"/>
      <c r="D48" s="362"/>
      <c r="E48" s="799"/>
      <c r="F48" s="773"/>
      <c r="G48" s="774"/>
      <c r="H48" s="1706"/>
      <c r="I48" s="1706"/>
      <c r="J48" s="361"/>
      <c r="K48" s="360"/>
      <c r="L48" s="359"/>
      <c r="M48" s="360"/>
      <c r="N48" s="361"/>
      <c r="O48" s="360"/>
      <c r="P48" s="361"/>
      <c r="Q48" s="360"/>
      <c r="R48" s="361"/>
      <c r="S48" s="772"/>
      <c r="T48" s="1706"/>
      <c r="U48" s="361"/>
      <c r="V48" s="361"/>
      <c r="W48" s="1789"/>
      <c r="X48" s="1706"/>
      <c r="Y48" s="361"/>
      <c r="Z48" s="361"/>
      <c r="AA48" s="1789"/>
      <c r="AB48" s="1706"/>
      <c r="AC48" s="361"/>
      <c r="AD48" s="1720"/>
      <c r="AE48"/>
      <c r="AF48"/>
      <c r="AG48"/>
      <c r="AH48"/>
      <c r="AJ48" s="1561"/>
      <c r="AK48" s="1561"/>
      <c r="AL48" s="1561"/>
      <c r="AM48" s="1561"/>
      <c r="AN48" s="1561"/>
      <c r="AO48" s="1561"/>
      <c r="AP48" s="1549" t="s">
        <v>383</v>
      </c>
      <c r="AQ48" s="1549" t="s">
        <v>383</v>
      </c>
      <c r="AR48" s="1561"/>
      <c r="AS48" s="1561"/>
    </row>
    <row r="50" spans="1:30" s="1744" customFormat="1" ht="11.25" customHeight="1">
      <c r="A50" s="1744" t="s">
        <v>411</v>
      </c>
    </row>
    <row r="52" spans="1:30" s="1751" customFormat="1" ht="15" customHeight="1">
      <c r="A52" s="65" t="s">
        <v>89</v>
      </c>
      <c r="B52" s="48" t="s">
        <v>18</v>
      </c>
      <c r="C52" s="1755"/>
      <c r="D52" s="51"/>
      <c r="E52" s="310"/>
      <c r="F52" s="310"/>
      <c r="G52" s="1732"/>
      <c r="H52" s="1753"/>
      <c r="I52" s="1733"/>
      <c r="K52" s="187"/>
      <c r="L52" s="188"/>
    </row>
    <row r="54" spans="1:30" s="1744" customFormat="1" ht="11.25" customHeight="1">
      <c r="A54" s="1744" t="s">
        <v>412</v>
      </c>
    </row>
    <row r="56" spans="1:30" s="1560" customFormat="1" ht="14.25" customHeight="1">
      <c r="A56" s="264"/>
      <c r="B56" s="1070"/>
      <c r="C56" s="300"/>
      <c r="D56" s="1739"/>
      <c r="E56" s="804"/>
      <c r="F56" s="1753"/>
      <c r="G56"/>
      <c r="I56" s="1549"/>
      <c r="J56" s="1549"/>
    </row>
    <row r="58" spans="1:30" s="1744" customFormat="1" ht="11.25" customHeight="1">
      <c r="A58" s="1744" t="s">
        <v>413</v>
      </c>
    </row>
    <row r="60" spans="1:30" s="1560" customFormat="1" ht="27" customHeight="1">
      <c r="A60" s="1076"/>
      <c r="B60" s="1076"/>
      <c r="C60" s="1076"/>
      <c r="D60" s="1070"/>
      <c r="E60" s="1756"/>
      <c r="F60" s="1952"/>
      <c r="G60" s="1953"/>
      <c r="H60" s="1954" t="s">
        <v>58</v>
      </c>
      <c r="I60" s="1956"/>
      <c r="J60" s="1958"/>
      <c r="K60" s="1960"/>
      <c r="L60" s="1963"/>
      <c r="M60" s="1963"/>
      <c r="N60" s="2004"/>
      <c r="O60" s="2004"/>
      <c r="P60" s="2005" t="e">
        <f>DATEDIF(DATEVALUE(N60),DATEVALUE(O60),"y")&amp;"г. "&amp;DATEDIF(DATEVALUE(N60),DATEVALUE(O60),"ym")&amp;"мес. "&amp;DATEVALUE(O60)-DATE(YEAR(DATEVALUE(O60)),MONTH(DATEVALUE(O60)),1)&amp;"дн. "</f>
        <v>#VALUE!</v>
      </c>
      <c r="Q60" s="1965"/>
      <c r="R60" s="1965"/>
      <c r="S60" s="1965"/>
      <c r="T60" s="1958"/>
      <c r="U60" s="1965"/>
      <c r="V60" s="1965"/>
      <c r="W60" s="1965"/>
      <c r="X60" s="1958"/>
      <c r="Y60" s="2002" t="s">
        <v>58</v>
      </c>
      <c r="Z60" s="1737"/>
      <c r="AA60" s="1721">
        <v>1</v>
      </c>
      <c r="AB60" s="1161"/>
      <c r="AD60" s="1561" t="s">
        <v>414</v>
      </c>
    </row>
    <row r="61" spans="1:30" s="1560" customFormat="1" ht="10.5" customHeight="1">
      <c r="A61" s="1076"/>
      <c r="B61" s="1076"/>
      <c r="C61" s="1076"/>
      <c r="D61" s="1070"/>
      <c r="E61" s="863"/>
      <c r="F61" s="1952"/>
      <c r="G61" s="1953"/>
      <c r="H61" s="1955"/>
      <c r="I61" s="1957"/>
      <c r="J61" s="1959"/>
      <c r="K61" s="1960"/>
      <c r="L61" s="1963"/>
      <c r="M61" s="1963"/>
      <c r="N61" s="2004"/>
      <c r="O61" s="2004"/>
      <c r="P61" s="2005"/>
      <c r="Q61" s="1965"/>
      <c r="R61" s="1965"/>
      <c r="S61" s="1965"/>
      <c r="T61" s="1959"/>
      <c r="U61" s="1965"/>
      <c r="V61" s="1965"/>
      <c r="W61" s="1965"/>
      <c r="X61" s="1959"/>
      <c r="Y61" s="2003"/>
      <c r="Z61" s="268"/>
      <c r="AA61" s="497"/>
      <c r="AB61" s="572" t="s">
        <v>415</v>
      </c>
    </row>
    <row r="63" spans="1:30" s="1744" customFormat="1" ht="11.25" customHeight="1">
      <c r="A63" s="1744" t="s">
        <v>416</v>
      </c>
    </row>
    <row r="65" spans="1:58" s="1560" customFormat="1" ht="27" customHeight="1">
      <c r="A65" s="1076"/>
      <c r="B65" s="1076"/>
      <c r="C65" s="1076"/>
      <c r="D65" s="1070"/>
      <c r="E65" s="1756"/>
      <c r="F65" s="1726"/>
      <c r="G65" s="1671"/>
      <c r="H65" s="1672"/>
      <c r="I65" s="1673"/>
      <c r="J65" s="1674"/>
      <c r="K65" s="1675"/>
      <c r="L65" s="1676"/>
      <c r="M65" s="1676"/>
      <c r="N65" s="1677"/>
      <c r="O65" s="1677"/>
      <c r="P65" s="1678"/>
      <c r="Q65" s="1679"/>
      <c r="R65" s="1679"/>
      <c r="S65" s="1679"/>
      <c r="T65" s="1674"/>
      <c r="U65" s="1679"/>
      <c r="V65" s="1679"/>
      <c r="W65" s="1679"/>
      <c r="X65" s="1674"/>
      <c r="Y65" s="1672"/>
      <c r="Z65" s="1737"/>
      <c r="AA65" s="1721">
        <v>1</v>
      </c>
      <c r="AB65" s="1161"/>
      <c r="AD65" s="1561" t="s">
        <v>414</v>
      </c>
    </row>
    <row r="67" spans="1:58" s="1744" customFormat="1" ht="11.25" customHeight="1">
      <c r="A67" s="1744" t="s">
        <v>417</v>
      </c>
    </row>
    <row r="68" spans="1:58" ht="17.25" customHeight="1"/>
    <row r="69" spans="1:58" s="1560" customFormat="1" ht="21" customHeight="1">
      <c r="A69" s="1077"/>
      <c r="B69" s="1076"/>
      <c r="C69" s="1076"/>
      <c r="D69" s="1070"/>
      <c r="E69" s="1080"/>
      <c r="F69" s="1035" t="e">
        <f>INDEX(IP_MAIN_LIST_NAME_IP,MATCH(A69,IP_MAIN_LIST_IP_ID,0))&amp;" ("&amp;INDEX(IP_MAIN_START_DATE,MATCH(A69,IP_MAIN_LIST_IP_ID,0))&amp;"-"&amp;INDEX(IP_MAIN_END_DATE,MATCH(A69,IP_MAIN_LIST_IP_ID,0))&amp;")"</f>
        <v>#N/A</v>
      </c>
      <c r="G69" s="1036"/>
      <c r="H69" s="1036"/>
      <c r="I69" s="1097"/>
      <c r="J69" s="1097"/>
      <c r="K69" s="1098"/>
      <c r="L69" s="1098"/>
      <c r="M69" s="1098"/>
      <c r="N69" s="1099"/>
      <c r="O69" s="1099"/>
      <c r="P69" s="1099"/>
      <c r="Q69" s="1099"/>
      <c r="R69" s="1099"/>
      <c r="S69" s="1099"/>
      <c r="T69" s="1099"/>
      <c r="U69" s="1099"/>
      <c r="V69" s="1099"/>
      <c r="W69" s="1099"/>
      <c r="X69" s="1099"/>
      <c r="Y69" s="1099"/>
      <c r="Z69" s="1099"/>
      <c r="AA69" s="1099"/>
      <c r="AB69" s="1099"/>
      <c r="AC69" s="1099"/>
      <c r="AD69" s="1099"/>
      <c r="AE69" s="1100"/>
      <c r="AF69" s="1098"/>
      <c r="AG69" s="1098"/>
      <c r="AH69" s="1098"/>
      <c r="AI69" s="1098"/>
      <c r="AJ69" s="1098"/>
      <c r="AK69" s="1098"/>
      <c r="AL69" s="1081"/>
      <c r="AM69" s="1751"/>
      <c r="AN69" s="1751"/>
      <c r="AO69" s="1751"/>
      <c r="AP69" s="1751"/>
      <c r="AQ69" s="1751"/>
      <c r="AR69" s="1751"/>
      <c r="AS69" s="1751"/>
      <c r="AT69" s="1751"/>
      <c r="AU69" s="1751"/>
      <c r="AV69" s="1751"/>
      <c r="AW69" s="1751"/>
      <c r="AX69" s="1751"/>
      <c r="AY69" s="1751"/>
      <c r="AZ69" s="1751"/>
      <c r="BA69" s="1751"/>
      <c r="BB69" s="1751"/>
      <c r="BC69" s="1751"/>
      <c r="BD69" s="1751"/>
      <c r="BE69" s="1751"/>
      <c r="BF69" s="1751"/>
    </row>
    <row r="70" spans="1:58" s="1560" customFormat="1" ht="11.25" customHeight="1">
      <c r="A70" s="1076"/>
      <c r="B70" s="1076"/>
      <c r="C70" s="1076"/>
      <c r="D70" s="1070"/>
      <c r="E70" s="1080"/>
      <c r="F70" s="2008"/>
      <c r="G70" s="1964"/>
      <c r="H70" s="1964" t="s">
        <v>105</v>
      </c>
      <c r="I70" s="2012"/>
      <c r="J70" s="2013"/>
      <c r="K70" s="2014"/>
      <c r="L70" s="2006" t="s">
        <v>56</v>
      </c>
      <c r="M70" s="1851"/>
      <c r="N70" s="1089"/>
      <c r="O70" s="1088" t="s">
        <v>376</v>
      </c>
      <c r="P70" s="1089"/>
      <c r="Q70" s="1089"/>
      <c r="R70" s="1089"/>
      <c r="S70" s="1089"/>
      <c r="T70" s="1089"/>
      <c r="U70" s="1089"/>
      <c r="V70" s="1089"/>
      <c r="W70" s="1089"/>
      <c r="X70" s="1089"/>
      <c r="Y70" s="1089"/>
      <c r="Z70" s="1089"/>
      <c r="AA70" s="1089"/>
      <c r="AB70" s="1089"/>
      <c r="AC70" s="1089"/>
      <c r="AD70" s="1089"/>
      <c r="AE70" s="1089"/>
      <c r="AF70" s="2010"/>
      <c r="AG70" s="2006"/>
      <c r="AH70" s="2006"/>
      <c r="AI70" s="2010"/>
      <c r="AJ70" s="2006"/>
      <c r="AK70" s="2006"/>
      <c r="AL70" s="1083"/>
      <c r="AM70" s="1751"/>
      <c r="AN70" s="1751"/>
      <c r="AO70" s="1751"/>
      <c r="AP70" s="1751"/>
      <c r="AQ70" s="1751"/>
      <c r="AR70" s="1751"/>
      <c r="AS70" s="1751"/>
      <c r="AT70" s="1751"/>
      <c r="AU70" s="1751"/>
      <c r="AV70" s="1751"/>
      <c r="AW70" s="1751"/>
      <c r="AX70" s="1751"/>
      <c r="AY70" s="1751"/>
      <c r="AZ70" s="1751"/>
      <c r="BA70" s="1751"/>
      <c r="BB70" s="1751"/>
      <c r="BC70" s="1751"/>
      <c r="BD70" s="1751"/>
      <c r="BE70" s="1751"/>
      <c r="BF70" s="1751"/>
    </row>
    <row r="71" spans="1:58" s="1560" customFormat="1" ht="11.25" customHeight="1">
      <c r="A71" s="1076"/>
      <c r="B71" s="1076"/>
      <c r="C71" s="1076"/>
      <c r="D71" s="1070"/>
      <c r="E71" s="1080"/>
      <c r="F71" s="2008"/>
      <c r="G71" s="1964"/>
      <c r="H71" s="1964"/>
      <c r="I71" s="2012"/>
      <c r="J71" s="2013"/>
      <c r="K71" s="2014"/>
      <c r="L71" s="2006"/>
      <c r="M71" s="1851"/>
      <c r="N71" s="2015"/>
      <c r="O71" s="1981">
        <v>1</v>
      </c>
      <c r="P71" s="1976" t="s">
        <v>56</v>
      </c>
      <c r="Q71" s="1979" t="s">
        <v>18</v>
      </c>
      <c r="R71" s="1979" t="s">
        <v>18</v>
      </c>
      <c r="S71" s="1979" t="s">
        <v>18</v>
      </c>
      <c r="T71" s="1979" t="s">
        <v>18</v>
      </c>
      <c r="U71" s="1979" t="s">
        <v>18</v>
      </c>
      <c r="V71" s="1979" t="s">
        <v>18</v>
      </c>
      <c r="W71" s="1979" t="s">
        <v>18</v>
      </c>
      <c r="X71" s="1979" t="s">
        <v>18</v>
      </c>
      <c r="Y71" s="1979"/>
      <c r="Z71" s="1086"/>
      <c r="AA71" s="1087"/>
      <c r="AB71" s="1087"/>
      <c r="AC71" s="1091"/>
      <c r="AD71" s="1091"/>
      <c r="AE71" s="1092"/>
      <c r="AF71" s="2010"/>
      <c r="AG71" s="2006"/>
      <c r="AH71" s="2006"/>
      <c r="AI71" s="2010"/>
      <c r="AJ71" s="2006"/>
      <c r="AK71" s="2006"/>
      <c r="AL71" s="1083"/>
      <c r="AM71" s="1751"/>
      <c r="AN71" s="1751"/>
      <c r="AO71" s="1751"/>
      <c r="AP71" s="1751"/>
      <c r="AQ71" s="1751"/>
      <c r="AR71" s="1751"/>
      <c r="AS71" s="1751"/>
      <c r="AT71" s="1751"/>
      <c r="AU71" s="1751"/>
      <c r="AV71" s="1751"/>
      <c r="AW71" s="1751"/>
      <c r="AX71" s="1751"/>
      <c r="AY71" s="1751"/>
      <c r="AZ71" s="1751"/>
      <c r="BA71" s="1751"/>
      <c r="BB71" s="1751"/>
      <c r="BC71" s="1751"/>
      <c r="BD71" s="1751"/>
      <c r="BE71" s="1751"/>
      <c r="BF71" s="1751"/>
    </row>
    <row r="72" spans="1:58" s="1560" customFormat="1" ht="11.25" customHeight="1">
      <c r="A72" s="1076"/>
      <c r="B72" s="1076"/>
      <c r="C72" s="1076"/>
      <c r="D72" s="1070"/>
      <c r="E72" s="1080"/>
      <c r="F72" s="2008"/>
      <c r="G72" s="1964"/>
      <c r="H72" s="1964"/>
      <c r="I72" s="2012"/>
      <c r="J72" s="2013"/>
      <c r="K72" s="2014"/>
      <c r="L72" s="2006"/>
      <c r="M72" s="1851"/>
      <c r="N72" s="2015"/>
      <c r="O72" s="1981"/>
      <c r="P72" s="1977"/>
      <c r="Q72" s="1979"/>
      <c r="R72" s="1979"/>
      <c r="S72" s="2011"/>
      <c r="T72" s="1979"/>
      <c r="U72" s="1979"/>
      <c r="V72" s="1979"/>
      <c r="W72" s="1979"/>
      <c r="X72" s="1979"/>
      <c r="Y72" s="1979"/>
      <c r="Z72" s="1757"/>
      <c r="AA72" s="1723">
        <v>1</v>
      </c>
      <c r="AB72" s="1090"/>
      <c r="AC72" s="1079"/>
      <c r="AD72" s="1090">
        <f>AB72</f>
        <v>0</v>
      </c>
      <c r="AE72" s="1079"/>
      <c r="AF72" s="2010"/>
      <c r="AG72" s="2006"/>
      <c r="AH72" s="2006"/>
      <c r="AI72" s="2010"/>
      <c r="AJ72" s="2006"/>
      <c r="AK72" s="2006"/>
      <c r="AL72" s="1083"/>
      <c r="AM72" s="1751"/>
      <c r="AN72" s="1751"/>
      <c r="AO72" s="1751"/>
      <c r="AP72" s="1751"/>
      <c r="AQ72" s="1751"/>
      <c r="AR72" s="1751"/>
      <c r="AS72" s="1751"/>
      <c r="AT72" s="1751"/>
      <c r="AU72" s="1751"/>
      <c r="AV72" s="1751"/>
      <c r="AW72" s="1751"/>
      <c r="AX72" s="1751"/>
      <c r="AY72" s="1751"/>
      <c r="AZ72" s="1751"/>
      <c r="BA72" s="1751"/>
      <c r="BB72" s="1751"/>
      <c r="BC72" s="1751"/>
      <c r="BD72" s="1751"/>
      <c r="BE72" s="1751"/>
      <c r="BF72" s="1751"/>
    </row>
    <row r="73" spans="1:58" s="1560" customFormat="1" ht="11.25" customHeight="1">
      <c r="A73" s="1076"/>
      <c r="B73" s="1076"/>
      <c r="C73" s="1076"/>
      <c r="D73" s="1070"/>
      <c r="E73" s="1080"/>
      <c r="F73" s="2008"/>
      <c r="G73" s="1964"/>
      <c r="H73" s="1964"/>
      <c r="I73" s="2012"/>
      <c r="J73" s="2013"/>
      <c r="K73" s="2014"/>
      <c r="L73" s="2006"/>
      <c r="M73" s="1851"/>
      <c r="N73" s="2015"/>
      <c r="O73" s="1981"/>
      <c r="P73" s="1978"/>
      <c r="Q73" s="1979"/>
      <c r="R73" s="1979"/>
      <c r="S73" s="2011"/>
      <c r="T73" s="1979"/>
      <c r="U73" s="1979"/>
      <c r="V73" s="1979"/>
      <c r="W73" s="1979"/>
      <c r="X73" s="1979"/>
      <c r="Y73" s="1979"/>
      <c r="Z73" s="1086"/>
      <c r="AA73" s="1087"/>
      <c r="AB73" s="1160" t="s">
        <v>418</v>
      </c>
      <c r="AC73" s="1091"/>
      <c r="AD73" s="1091"/>
      <c r="AE73" s="1093"/>
      <c r="AF73" s="2010"/>
      <c r="AG73" s="2006"/>
      <c r="AH73" s="2006"/>
      <c r="AI73" s="2010"/>
      <c r="AJ73" s="2006"/>
      <c r="AK73" s="2006"/>
      <c r="AL73" s="1083"/>
      <c r="AM73" s="1751"/>
      <c r="AN73" s="1751"/>
      <c r="AO73" s="1751"/>
      <c r="AP73" s="1751"/>
      <c r="AQ73" s="1751"/>
      <c r="AR73" s="1751"/>
      <c r="AS73" s="1751"/>
      <c r="AT73" s="1751"/>
      <c r="AU73" s="1751"/>
      <c r="AV73" s="1751"/>
      <c r="AW73" s="1751"/>
      <c r="AX73" s="1751"/>
      <c r="AY73" s="1751"/>
      <c r="AZ73" s="1751"/>
      <c r="BA73" s="1751"/>
      <c r="BB73" s="1751"/>
      <c r="BC73" s="1751"/>
      <c r="BD73" s="1751"/>
      <c r="BE73" s="1751"/>
      <c r="BF73" s="1751"/>
    </row>
    <row r="74" spans="1:58" s="1560" customFormat="1" ht="11.25" customHeight="1">
      <c r="A74" s="1076"/>
      <c r="B74" s="1076"/>
      <c r="C74" s="1076"/>
      <c r="D74" s="1070"/>
      <c r="E74" s="1080"/>
      <c r="F74" s="2008"/>
      <c r="G74" s="1964"/>
      <c r="H74" s="1964"/>
      <c r="I74" s="2012"/>
      <c r="J74" s="2013"/>
      <c r="K74" s="2014"/>
      <c r="L74" s="2006"/>
      <c r="M74" s="1851"/>
      <c r="N74" s="1087"/>
      <c r="O74" s="1087"/>
      <c r="P74" s="1078" t="s">
        <v>419</v>
      </c>
      <c r="Q74" s="1087"/>
      <c r="R74" s="1087"/>
      <c r="S74" s="1087"/>
      <c r="T74" s="1087"/>
      <c r="U74" s="1087"/>
      <c r="V74" s="1087"/>
      <c r="W74" s="1087"/>
      <c r="X74" s="1087"/>
      <c r="Y74" s="1087"/>
      <c r="Z74" s="1087"/>
      <c r="AA74" s="1087"/>
      <c r="AB74" s="1087"/>
      <c r="AC74" s="1087"/>
      <c r="AD74" s="1087"/>
      <c r="AE74" s="1094"/>
      <c r="AF74" s="2010"/>
      <c r="AG74" s="2006"/>
      <c r="AH74" s="2006"/>
      <c r="AI74" s="2010"/>
      <c r="AJ74" s="2006"/>
      <c r="AK74" s="2006"/>
      <c r="AL74" s="1083"/>
      <c r="AM74" s="1751"/>
      <c r="AN74" s="1751"/>
      <c r="AO74" s="1751"/>
      <c r="AP74" s="1751"/>
      <c r="AQ74" s="1751"/>
      <c r="AR74" s="1751"/>
      <c r="AS74" s="1751"/>
      <c r="AT74" s="1751"/>
      <c r="AU74" s="1751"/>
      <c r="AV74" s="1751"/>
      <c r="AW74" s="1751"/>
      <c r="AX74" s="1751"/>
      <c r="AY74" s="1751"/>
      <c r="AZ74" s="1751"/>
      <c r="BA74" s="1751"/>
      <c r="BB74" s="1751"/>
      <c r="BC74" s="1751"/>
      <c r="BD74" s="1751"/>
      <c r="BE74" s="1751"/>
      <c r="BF74" s="1751"/>
    </row>
    <row r="75" spans="1:58" s="1560" customFormat="1" ht="12" customHeight="1">
      <c r="A75" s="1076"/>
      <c r="B75" s="1076"/>
      <c r="C75" s="1076"/>
      <c r="D75" s="1070"/>
      <c r="E75" s="1080"/>
      <c r="F75" s="2009"/>
      <c r="G75" s="1102"/>
      <c r="H75" s="1102"/>
      <c r="I75" s="2007" t="s">
        <v>420</v>
      </c>
      <c r="J75" s="2007"/>
      <c r="K75" s="2007"/>
      <c r="L75" s="1084"/>
      <c r="M75" s="1084"/>
      <c r="N75" s="1085"/>
      <c r="O75" s="1085"/>
      <c r="P75" s="1085"/>
      <c r="Q75" s="1085"/>
      <c r="R75" s="1085"/>
      <c r="S75" s="1085"/>
      <c r="T75" s="1085"/>
      <c r="U75" s="1085"/>
      <c r="V75" s="1085"/>
      <c r="W75" s="1085"/>
      <c r="X75" s="1085"/>
      <c r="Y75" s="1085"/>
      <c r="Z75" s="1085"/>
      <c r="AA75" s="1085"/>
      <c r="AB75" s="1085"/>
      <c r="AC75" s="1085"/>
      <c r="AD75" s="1085"/>
      <c r="AE75" s="1085"/>
      <c r="AF75" s="1085"/>
      <c r="AG75" s="1084"/>
      <c r="AH75" s="1084"/>
      <c r="AI75" s="1085"/>
      <c r="AJ75" s="1084"/>
      <c r="AK75" s="1095"/>
      <c r="AL75" s="1083"/>
      <c r="AM75" s="1751"/>
      <c r="AN75" s="1751"/>
      <c r="AO75" s="1751"/>
      <c r="AP75" s="1751"/>
      <c r="AQ75" s="1751"/>
      <c r="AR75" s="1751"/>
      <c r="AS75" s="1751"/>
      <c r="AT75" s="1751"/>
      <c r="AU75" s="1751"/>
      <c r="AV75" s="1751"/>
      <c r="AW75" s="1751"/>
      <c r="AX75" s="1751"/>
      <c r="AY75" s="1751"/>
      <c r="AZ75" s="1751"/>
      <c r="BA75" s="1751"/>
      <c r="BB75" s="1751"/>
      <c r="BC75" s="1751"/>
      <c r="BD75" s="1751"/>
      <c r="BE75" s="1751"/>
      <c r="BF75" s="1751"/>
    </row>
    <row r="77" spans="1:58" s="1744" customFormat="1" ht="11.25" customHeight="1">
      <c r="A77" s="1744" t="s">
        <v>421</v>
      </c>
    </row>
    <row r="79" spans="1:58" s="1560" customFormat="1" ht="11.25" customHeight="1">
      <c r="A79" s="1076"/>
      <c r="B79" s="1076"/>
      <c r="C79" s="1076"/>
      <c r="D79" s="1070"/>
      <c r="E79" s="1080"/>
      <c r="F79" s="1758"/>
      <c r="G79" s="1759"/>
      <c r="H79" s="1759"/>
      <c r="I79" s="1688"/>
      <c r="J79" s="1688"/>
      <c r="K79" s="1760"/>
      <c r="L79" s="1688"/>
      <c r="M79" s="1759"/>
      <c r="N79" s="1980"/>
      <c r="O79" s="1981">
        <v>1</v>
      </c>
      <c r="P79" s="1976" t="s">
        <v>56</v>
      </c>
      <c r="Q79" s="1979" t="s">
        <v>18</v>
      </c>
      <c r="R79" s="1979" t="s">
        <v>18</v>
      </c>
      <c r="S79" s="1979" t="s">
        <v>18</v>
      </c>
      <c r="T79" s="1979" t="s">
        <v>18</v>
      </c>
      <c r="U79" s="1979" t="s">
        <v>18</v>
      </c>
      <c r="V79" s="1979" t="s">
        <v>18</v>
      </c>
      <c r="W79" s="1979" t="s">
        <v>18</v>
      </c>
      <c r="X79" s="1979" t="s">
        <v>18</v>
      </c>
      <c r="Y79" s="1979"/>
      <c r="Z79" s="1086"/>
      <c r="AA79" s="1087"/>
      <c r="AB79" s="1087"/>
      <c r="AC79" s="1091"/>
      <c r="AD79" s="1091"/>
      <c r="AE79" s="1091"/>
      <c r="AF79" s="1761"/>
      <c r="AG79" s="1683"/>
      <c r="AH79" s="1683"/>
      <c r="AI79" s="1761"/>
      <c r="AJ79" s="1683"/>
      <c r="AK79" s="1683"/>
      <c r="AL79" s="1083"/>
      <c r="AM79" s="1751"/>
      <c r="AN79" s="1751"/>
      <c r="AO79" s="1751"/>
      <c r="AP79" s="1751"/>
      <c r="AQ79" s="1751"/>
      <c r="AR79" s="1751"/>
      <c r="AS79" s="1751"/>
      <c r="AT79" s="1751"/>
      <c r="AU79" s="1751"/>
      <c r="AV79" s="1751"/>
      <c r="AW79" s="1751"/>
      <c r="AX79" s="1751"/>
      <c r="AY79" s="1751"/>
      <c r="AZ79" s="1751"/>
      <c r="BA79" s="1751"/>
      <c r="BB79" s="1751"/>
      <c r="BC79" s="1751"/>
      <c r="BD79" s="1751"/>
      <c r="BE79" s="1751"/>
      <c r="BF79" s="1751"/>
    </row>
    <row r="80" spans="1:58" s="1560" customFormat="1" ht="11.25" customHeight="1">
      <c r="A80" s="1076"/>
      <c r="B80" s="1076"/>
      <c r="C80" s="1076"/>
      <c r="D80" s="1070"/>
      <c r="E80" s="1080"/>
      <c r="F80" s="1758"/>
      <c r="G80" s="1759"/>
      <c r="H80" s="1759"/>
      <c r="I80" s="1689"/>
      <c r="J80" s="1689"/>
      <c r="K80" s="1760"/>
      <c r="L80" s="1689"/>
      <c r="M80" s="1759"/>
      <c r="N80" s="1980"/>
      <c r="O80" s="1981"/>
      <c r="P80" s="1977"/>
      <c r="Q80" s="1979"/>
      <c r="R80" s="1979"/>
      <c r="S80" s="2011"/>
      <c r="T80" s="1979"/>
      <c r="U80" s="1979"/>
      <c r="V80" s="1979"/>
      <c r="W80" s="1979"/>
      <c r="X80" s="1979"/>
      <c r="Y80" s="1979"/>
      <c r="Z80" s="1757"/>
      <c r="AA80" s="1723">
        <v>1</v>
      </c>
      <c r="AB80" s="1090"/>
      <c r="AC80" s="1079"/>
      <c r="AD80" s="1090">
        <f>AB80</f>
        <v>0</v>
      </c>
      <c r="AE80" s="644"/>
      <c r="AF80" s="1760"/>
      <c r="AG80" s="1683"/>
      <c r="AH80" s="1683"/>
      <c r="AI80" s="1760"/>
      <c r="AJ80" s="1683"/>
      <c r="AK80" s="1683"/>
      <c r="AL80" s="1083"/>
      <c r="AM80" s="1751"/>
      <c r="AN80" s="1751"/>
      <c r="AO80" s="1751"/>
      <c r="AP80" s="1751"/>
      <c r="AQ80" s="1751"/>
      <c r="AR80" s="1751"/>
      <c r="AS80" s="1751"/>
      <c r="AT80" s="1751"/>
      <c r="AU80" s="1751"/>
      <c r="AV80" s="1751"/>
      <c r="AW80" s="1751"/>
      <c r="AX80" s="1751"/>
      <c r="AY80" s="1751"/>
      <c r="AZ80" s="1751"/>
      <c r="BA80" s="1751"/>
      <c r="BB80" s="1751"/>
      <c r="BC80" s="1751"/>
      <c r="BD80" s="1751"/>
      <c r="BE80" s="1751"/>
      <c r="BF80" s="1751"/>
    </row>
    <row r="81" spans="1:58" s="1560" customFormat="1" ht="11.25" customHeight="1">
      <c r="A81" s="1076"/>
      <c r="B81" s="1076"/>
      <c r="C81" s="1076"/>
      <c r="D81" s="1070"/>
      <c r="E81" s="1080"/>
      <c r="F81" s="1758"/>
      <c r="G81" s="1759"/>
      <c r="H81" s="1759"/>
      <c r="I81" s="1690"/>
      <c r="J81" s="1690"/>
      <c r="K81" s="1760"/>
      <c r="L81" s="1690"/>
      <c r="M81" s="1759"/>
      <c r="N81" s="1980"/>
      <c r="O81" s="1981"/>
      <c r="P81" s="1978"/>
      <c r="Q81" s="1979"/>
      <c r="R81" s="1979"/>
      <c r="S81" s="2011"/>
      <c r="T81" s="1979"/>
      <c r="U81" s="1979"/>
      <c r="V81" s="1979"/>
      <c r="W81" s="1979"/>
      <c r="X81" s="1979"/>
      <c r="Y81" s="1979"/>
      <c r="Z81" s="1086"/>
      <c r="AA81" s="1087"/>
      <c r="AB81" s="1160" t="s">
        <v>418</v>
      </c>
      <c r="AC81" s="1091"/>
      <c r="AD81" s="1091"/>
      <c r="AE81" s="1091"/>
      <c r="AF81" s="1762"/>
      <c r="AG81" s="1683"/>
      <c r="AH81" s="1683"/>
      <c r="AI81" s="1762"/>
      <c r="AJ81" s="1683"/>
      <c r="AK81" s="1683"/>
      <c r="AL81" s="1083"/>
      <c r="AM81" s="1751"/>
      <c r="AN81" s="1751"/>
      <c r="AO81" s="1751"/>
      <c r="AP81" s="1751"/>
      <c r="AQ81" s="1751"/>
      <c r="AR81" s="1751"/>
      <c r="AS81" s="1751"/>
      <c r="AT81" s="1751"/>
      <c r="AU81" s="1751"/>
      <c r="AV81" s="1751"/>
      <c r="AW81" s="1751"/>
      <c r="AX81" s="1751"/>
      <c r="AY81" s="1751"/>
      <c r="AZ81" s="1751"/>
      <c r="BA81" s="1751"/>
      <c r="BB81" s="1751"/>
      <c r="BC81" s="1751"/>
      <c r="BD81" s="1751"/>
      <c r="BE81" s="1751"/>
      <c r="BF81" s="1751"/>
    </row>
    <row r="83" spans="1:58" s="1744" customFormat="1" ht="11.25" customHeight="1">
      <c r="A83" s="1744" t="s">
        <v>422</v>
      </c>
    </row>
    <row r="85" spans="1:58" s="1560" customFormat="1" ht="11.25" customHeight="1">
      <c r="A85" s="1076"/>
      <c r="B85" s="1076"/>
      <c r="C85" s="1076"/>
      <c r="D85" s="1070"/>
      <c r="E85" s="1080"/>
      <c r="F85" s="1759"/>
      <c r="G85" s="1759"/>
      <c r="H85" s="1759"/>
      <c r="I85" s="1759"/>
      <c r="J85" s="1759"/>
      <c r="K85" s="1759"/>
      <c r="L85" s="1759"/>
      <c r="M85" s="1759"/>
      <c r="N85" s="1759"/>
      <c r="O85" s="1759"/>
      <c r="P85" s="1759"/>
      <c r="Q85" s="1759"/>
      <c r="R85" s="1759"/>
      <c r="S85" s="1759"/>
      <c r="T85" s="1759"/>
      <c r="U85" s="1759"/>
      <c r="V85" s="1759"/>
      <c r="W85" s="1759"/>
      <c r="X85" s="1759"/>
      <c r="Y85" s="1759"/>
      <c r="Z85" s="1763"/>
      <c r="AA85" s="1743">
        <v>1</v>
      </c>
      <c r="AB85" s="1090"/>
      <c r="AC85" s="1079"/>
      <c r="AD85" s="1090">
        <f>AB85</f>
        <v>0</v>
      </c>
      <c r="AE85" s="1079"/>
      <c r="AF85" s="1760"/>
      <c r="AG85" s="1683"/>
      <c r="AH85" s="1683"/>
      <c r="AI85" s="1760"/>
      <c r="AJ85" s="1683"/>
      <c r="AK85" s="1683"/>
      <c r="AL85" s="1083"/>
      <c r="AM85" s="1751"/>
      <c r="AN85" s="1751"/>
      <c r="AO85" s="1751"/>
      <c r="AP85" s="1751"/>
      <c r="AQ85" s="1751"/>
      <c r="AR85" s="1751"/>
      <c r="AS85" s="1751"/>
      <c r="AT85" s="1751"/>
      <c r="AU85" s="1751"/>
      <c r="AV85" s="1751"/>
      <c r="AW85" s="1751"/>
      <c r="AX85" s="1751"/>
      <c r="AY85" s="1751"/>
      <c r="AZ85" s="1751"/>
      <c r="BA85" s="1751"/>
      <c r="BB85" s="1751"/>
      <c r="BC85" s="1751"/>
      <c r="BD85" s="1751"/>
      <c r="BE85" s="1751"/>
      <c r="BF85" s="1751"/>
    </row>
    <row r="87" spans="1:58" s="1744" customFormat="1" ht="11.25" customHeight="1">
      <c r="A87" s="1744" t="s">
        <v>423</v>
      </c>
    </row>
    <row r="89" spans="1:58" s="1560" customFormat="1" ht="11.25" customHeight="1">
      <c r="A89" s="1076"/>
      <c r="B89" s="1076"/>
      <c r="C89" s="1076"/>
      <c r="D89" s="1070"/>
      <c r="E89" s="1080"/>
      <c r="F89" s="1758"/>
      <c r="G89" s="1759"/>
      <c r="H89" s="1964" t="s">
        <v>105</v>
      </c>
      <c r="I89" s="2012"/>
      <c r="J89" s="2013"/>
      <c r="K89" s="2014"/>
      <c r="L89" s="2006" t="s">
        <v>56</v>
      </c>
      <c r="M89" s="1851"/>
      <c r="N89" s="1089"/>
      <c r="O89" s="1088" t="s">
        <v>376</v>
      </c>
      <c r="P89" s="1089"/>
      <c r="Q89" s="1089"/>
      <c r="R89" s="1089"/>
      <c r="S89" s="1089"/>
      <c r="T89" s="1089"/>
      <c r="U89" s="1089"/>
      <c r="V89" s="1089"/>
      <c r="W89" s="1089"/>
      <c r="X89" s="1089"/>
      <c r="Y89" s="1089"/>
      <c r="Z89" s="1089"/>
      <c r="AA89" s="1089"/>
      <c r="AB89" s="1089"/>
      <c r="AC89" s="1089"/>
      <c r="AD89" s="1089"/>
      <c r="AE89" s="1089"/>
      <c r="AF89" s="2010"/>
      <c r="AG89" s="2006"/>
      <c r="AH89" s="2006"/>
      <c r="AI89" s="2010"/>
      <c r="AJ89" s="2006"/>
      <c r="AK89" s="2006"/>
      <c r="AL89" s="1083"/>
      <c r="AM89" s="1751"/>
      <c r="AN89" s="1751"/>
      <c r="AO89" s="1751"/>
      <c r="AP89" s="1751"/>
      <c r="AQ89" s="1751"/>
      <c r="AR89" s="1751"/>
      <c r="AS89" s="1751"/>
      <c r="AT89" s="1751"/>
      <c r="AU89" s="1751"/>
      <c r="AV89" s="1751"/>
      <c r="AW89" s="1751"/>
      <c r="AX89" s="1751"/>
      <c r="AY89" s="1751"/>
      <c r="AZ89" s="1751"/>
      <c r="BA89" s="1751"/>
      <c r="BB89" s="1751"/>
      <c r="BC89" s="1751"/>
      <c r="BD89" s="1751"/>
      <c r="BE89" s="1751"/>
      <c r="BF89" s="1751"/>
    </row>
    <row r="90" spans="1:58" s="1560" customFormat="1" ht="11.25" customHeight="1">
      <c r="A90" s="1076"/>
      <c r="B90" s="1076"/>
      <c r="C90" s="1076"/>
      <c r="D90" s="1070"/>
      <c r="E90" s="1080"/>
      <c r="F90" s="1758"/>
      <c r="G90" s="1759"/>
      <c r="H90" s="1964"/>
      <c r="I90" s="2012"/>
      <c r="J90" s="2013"/>
      <c r="K90" s="2014"/>
      <c r="L90" s="2006"/>
      <c r="M90" s="1851"/>
      <c r="N90" s="2015"/>
      <c r="O90" s="1981">
        <v>1</v>
      </c>
      <c r="P90" s="1976" t="s">
        <v>56</v>
      </c>
      <c r="Q90" s="1979" t="s">
        <v>18</v>
      </c>
      <c r="R90" s="1979" t="s">
        <v>18</v>
      </c>
      <c r="S90" s="1979" t="s">
        <v>18</v>
      </c>
      <c r="T90" s="1979" t="s">
        <v>18</v>
      </c>
      <c r="U90" s="1979" t="s">
        <v>18</v>
      </c>
      <c r="V90" s="1979" t="s">
        <v>18</v>
      </c>
      <c r="W90" s="1979" t="s">
        <v>18</v>
      </c>
      <c r="X90" s="1979" t="s">
        <v>18</v>
      </c>
      <c r="Y90" s="1979"/>
      <c r="Z90" s="1086"/>
      <c r="AA90" s="1087"/>
      <c r="AB90" s="1087"/>
      <c r="AC90" s="1091"/>
      <c r="AD90" s="1091"/>
      <c r="AE90" s="1092"/>
      <c r="AF90" s="2010"/>
      <c r="AG90" s="2006"/>
      <c r="AH90" s="2006"/>
      <c r="AI90" s="2010"/>
      <c r="AJ90" s="2006"/>
      <c r="AK90" s="2006"/>
      <c r="AL90" s="1083"/>
      <c r="AM90" s="1751"/>
      <c r="AN90" s="1751"/>
      <c r="AO90" s="1751"/>
      <c r="AP90" s="1751"/>
      <c r="AQ90" s="1751"/>
      <c r="AR90" s="1751"/>
      <c r="AS90" s="1751"/>
      <c r="AT90" s="1751"/>
      <c r="AU90" s="1751"/>
      <c r="AV90" s="1751"/>
      <c r="AW90" s="1751"/>
      <c r="AX90" s="1751"/>
      <c r="AY90" s="1751"/>
      <c r="AZ90" s="1751"/>
      <c r="BA90" s="1751"/>
      <c r="BB90" s="1751"/>
      <c r="BC90" s="1751"/>
      <c r="BD90" s="1751"/>
      <c r="BE90" s="1751"/>
      <c r="BF90" s="1751"/>
    </row>
    <row r="91" spans="1:58" s="1560" customFormat="1" ht="11.25" customHeight="1">
      <c r="A91" s="1076"/>
      <c r="B91" s="1076"/>
      <c r="C91" s="1076"/>
      <c r="D91" s="1070"/>
      <c r="E91" s="1080"/>
      <c r="F91" s="1758"/>
      <c r="G91" s="1759"/>
      <c r="H91" s="1964"/>
      <c r="I91" s="2012"/>
      <c r="J91" s="2013"/>
      <c r="K91" s="2014"/>
      <c r="L91" s="2006"/>
      <c r="M91" s="1851"/>
      <c r="N91" s="2015"/>
      <c r="O91" s="1981"/>
      <c r="P91" s="1977"/>
      <c r="Q91" s="1979"/>
      <c r="R91" s="1979"/>
      <c r="S91" s="2011"/>
      <c r="T91" s="1979"/>
      <c r="U91" s="1979"/>
      <c r="V91" s="1979"/>
      <c r="W91" s="1979"/>
      <c r="X91" s="1979"/>
      <c r="Y91" s="1979"/>
      <c r="Z91" s="1757"/>
      <c r="AA91" s="1723">
        <v>1</v>
      </c>
      <c r="AB91" s="1090"/>
      <c r="AC91" s="1079"/>
      <c r="AD91" s="1090">
        <f>AB91</f>
        <v>0</v>
      </c>
      <c r="AE91" s="1079"/>
      <c r="AF91" s="2010"/>
      <c r="AG91" s="2006"/>
      <c r="AH91" s="2006"/>
      <c r="AI91" s="2010"/>
      <c r="AJ91" s="2006"/>
      <c r="AK91" s="2006"/>
      <c r="AL91" s="1083"/>
      <c r="AM91" s="1751"/>
      <c r="AN91" s="1751"/>
      <c r="AO91" s="1751"/>
      <c r="AP91" s="1751"/>
      <c r="AQ91" s="1751"/>
      <c r="AR91" s="1751"/>
      <c r="AS91" s="1751"/>
      <c r="AT91" s="1751"/>
      <c r="AU91" s="1751"/>
      <c r="AV91" s="1751"/>
      <c r="AW91" s="1751"/>
      <c r="AX91" s="1751"/>
      <c r="AY91" s="1751"/>
      <c r="AZ91" s="1751"/>
      <c r="BA91" s="1751"/>
      <c r="BB91" s="1751"/>
      <c r="BC91" s="1751"/>
      <c r="BD91" s="1751"/>
      <c r="BE91" s="1751"/>
      <c r="BF91" s="1751"/>
    </row>
    <row r="92" spans="1:58" s="1560" customFormat="1" ht="11.25" customHeight="1">
      <c r="A92" s="1076"/>
      <c r="B92" s="1076"/>
      <c r="C92" s="1076"/>
      <c r="D92" s="1070"/>
      <c r="E92" s="1080"/>
      <c r="F92" s="1758"/>
      <c r="G92" s="1759"/>
      <c r="H92" s="1964"/>
      <c r="I92" s="2012"/>
      <c r="J92" s="2013"/>
      <c r="K92" s="2014"/>
      <c r="L92" s="2006"/>
      <c r="M92" s="1851"/>
      <c r="N92" s="2015"/>
      <c r="O92" s="1981"/>
      <c r="P92" s="1978"/>
      <c r="Q92" s="1979"/>
      <c r="R92" s="1979"/>
      <c r="S92" s="2011"/>
      <c r="T92" s="1979"/>
      <c r="U92" s="1979"/>
      <c r="V92" s="1979"/>
      <c r="W92" s="1979"/>
      <c r="X92" s="1979"/>
      <c r="Y92" s="1979"/>
      <c r="Z92" s="1086"/>
      <c r="AA92" s="1087"/>
      <c r="AB92" s="1160" t="s">
        <v>418</v>
      </c>
      <c r="AC92" s="1091"/>
      <c r="AD92" s="1091"/>
      <c r="AE92" s="1093"/>
      <c r="AF92" s="2010"/>
      <c r="AG92" s="2006"/>
      <c r="AH92" s="2006"/>
      <c r="AI92" s="2010"/>
      <c r="AJ92" s="2006"/>
      <c r="AK92" s="2006"/>
      <c r="AL92" s="1083"/>
      <c r="AM92" s="1751"/>
      <c r="AN92" s="1751"/>
      <c r="AO92" s="1751"/>
      <c r="AP92" s="1751"/>
      <c r="AQ92" s="1751"/>
      <c r="AR92" s="1751"/>
      <c r="AS92" s="1751"/>
      <c r="AT92" s="1751"/>
      <c r="AU92" s="1751"/>
      <c r="AV92" s="1751"/>
      <c r="AW92" s="1751"/>
      <c r="AX92" s="1751"/>
      <c r="AY92" s="1751"/>
      <c r="AZ92" s="1751"/>
      <c r="BA92" s="1751"/>
      <c r="BB92" s="1751"/>
      <c r="BC92" s="1751"/>
      <c r="BD92" s="1751"/>
      <c r="BE92" s="1751"/>
      <c r="BF92" s="1751"/>
    </row>
    <row r="93" spans="1:58" s="1560" customFormat="1" ht="11.25" customHeight="1">
      <c r="A93" s="1076"/>
      <c r="B93" s="1076"/>
      <c r="C93" s="1076"/>
      <c r="D93" s="1070"/>
      <c r="E93" s="1080"/>
      <c r="F93" s="1758"/>
      <c r="G93" s="1759"/>
      <c r="H93" s="1964"/>
      <c r="I93" s="2012"/>
      <c r="J93" s="2013"/>
      <c r="K93" s="2014"/>
      <c r="L93" s="2006"/>
      <c r="M93" s="1851"/>
      <c r="N93" s="1087"/>
      <c r="O93" s="1087"/>
      <c r="P93" s="1078" t="s">
        <v>419</v>
      </c>
      <c r="Q93" s="1087"/>
      <c r="R93" s="1087"/>
      <c r="S93" s="1087"/>
      <c r="T93" s="1087"/>
      <c r="U93" s="1087"/>
      <c r="V93" s="1087"/>
      <c r="W93" s="1087"/>
      <c r="X93" s="1087"/>
      <c r="Y93" s="1087"/>
      <c r="Z93" s="1087"/>
      <c r="AA93" s="1087"/>
      <c r="AB93" s="1087"/>
      <c r="AC93" s="1087"/>
      <c r="AD93" s="1087"/>
      <c r="AE93" s="1094"/>
      <c r="AF93" s="2010"/>
      <c r="AG93" s="2006"/>
      <c r="AH93" s="2006"/>
      <c r="AI93" s="2010"/>
      <c r="AJ93" s="2006"/>
      <c r="AK93" s="2006"/>
      <c r="AL93" s="1083"/>
      <c r="AM93" s="1751"/>
      <c r="AN93" s="1751"/>
      <c r="AO93" s="1751"/>
      <c r="AP93" s="1751"/>
      <c r="AQ93" s="1751"/>
      <c r="AR93" s="1751"/>
      <c r="AS93" s="1751"/>
      <c r="AT93" s="1751"/>
      <c r="AU93" s="1751"/>
      <c r="AV93" s="1751"/>
      <c r="AW93" s="1751"/>
      <c r="AX93" s="1751"/>
      <c r="AY93" s="1751"/>
      <c r="AZ93" s="1751"/>
      <c r="BA93" s="1751"/>
      <c r="BB93" s="1751"/>
      <c r="BC93" s="1751"/>
      <c r="BD93" s="1751"/>
      <c r="BE93" s="1751"/>
      <c r="BF93" s="1751"/>
    </row>
    <row r="95" spans="1:58" s="1744" customFormat="1" ht="11.25" customHeight="1">
      <c r="A95" s="1744" t="s">
        <v>424</v>
      </c>
    </row>
    <row r="96" spans="1:58" ht="17.25" customHeight="1"/>
    <row r="97" spans="1:184" s="843" customFormat="1" ht="21" customHeight="1">
      <c r="A97" s="1077"/>
      <c r="B97" s="856"/>
      <c r="D97" s="842"/>
      <c r="E97" s="855" t="s">
        <v>18</v>
      </c>
      <c r="F97" s="1034" t="e">
        <f>INDEX(IP_MAIN_LIST_NAME_IP,MATCH(A97,IP_MAIN_LIST_IP_ID,0))&amp;" ("&amp;INDEX(IP_MAIN_START_DATE,MATCH(A97,IP_MAIN_LIST_IP_ID,0))&amp;"-"&amp;INDEX(IP_MAIN_END_DATE,MATCH(A97,IP_MAIN_LIST_IP_ID,0))&amp;")"</f>
        <v>#N/A</v>
      </c>
      <c r="G97" s="1115"/>
      <c r="H97" s="1116"/>
      <c r="I97" s="1116"/>
      <c r="J97" s="1116"/>
      <c r="K97" s="1116"/>
      <c r="L97" s="1116"/>
      <c r="M97" s="1116"/>
      <c r="N97" s="1116"/>
      <c r="O97" s="1115"/>
      <c r="P97" s="1115"/>
      <c r="Q97" s="1115"/>
      <c r="R97" s="1115"/>
      <c r="S97" s="1115"/>
      <c r="T97" s="1115"/>
      <c r="U97" s="1117"/>
      <c r="V97" s="1117"/>
      <c r="W97" s="1117"/>
      <c r="X97" s="1117"/>
      <c r="Y97" s="1117"/>
      <c r="Z97" s="1117"/>
      <c r="AA97" s="1117"/>
      <c r="AB97" s="1115"/>
      <c r="AC97" s="1116"/>
      <c r="AD97" s="1116"/>
      <c r="AE97" s="1116"/>
      <c r="AF97" s="1116"/>
      <c r="AG97" s="1116"/>
      <c r="AH97" s="1116"/>
      <c r="AI97" s="1116"/>
      <c r="AJ97" s="1116"/>
      <c r="AK97" s="1116"/>
      <c r="AL97" s="1116"/>
      <c r="AM97" s="1116"/>
      <c r="AN97" s="1116"/>
      <c r="AO97" s="1116"/>
      <c r="AP97" s="1116"/>
      <c r="AQ97" s="1116"/>
      <c r="AR97" s="1116"/>
      <c r="AS97" s="1116"/>
      <c r="AT97" s="1116"/>
      <c r="AU97" s="1116"/>
      <c r="AV97" s="1116"/>
      <c r="AW97" s="1116"/>
      <c r="AX97" s="1116"/>
      <c r="AY97" s="1116"/>
      <c r="AZ97" s="1116"/>
      <c r="BA97" s="1116"/>
      <c r="BB97" s="1116"/>
      <c r="BC97" s="1116"/>
      <c r="BD97" s="1116"/>
      <c r="BE97" s="1116"/>
      <c r="BF97" s="1116"/>
      <c r="BG97" s="1116"/>
      <c r="BH97" s="1116"/>
      <c r="BI97" s="1116"/>
      <c r="BJ97" s="1116"/>
      <c r="BK97" s="1116"/>
      <c r="BL97" s="1116"/>
      <c r="BM97" s="1116"/>
      <c r="BN97" s="1116"/>
      <c r="BO97" s="1116"/>
      <c r="BP97" s="1116"/>
      <c r="BQ97" s="1116"/>
      <c r="BR97" s="1116"/>
      <c r="BS97" s="1116"/>
      <c r="BT97" s="1116"/>
      <c r="BU97" s="1116"/>
      <c r="BV97" s="1116"/>
      <c r="BW97" s="1116"/>
      <c r="BX97" s="1116"/>
      <c r="BY97" s="1116"/>
      <c r="BZ97" s="1116"/>
      <c r="CA97" s="1116"/>
      <c r="CB97" s="1116"/>
      <c r="CC97" s="1116"/>
      <c r="CD97" s="1116"/>
      <c r="CE97" s="1116"/>
      <c r="CF97" s="1116"/>
      <c r="CG97" s="1116"/>
      <c r="CH97" s="1116"/>
      <c r="CI97" s="1116"/>
      <c r="CJ97" s="1116"/>
      <c r="CK97" s="1116"/>
      <c r="CL97" s="1118"/>
      <c r="CM97" s="1118"/>
      <c r="CN97" s="1118"/>
      <c r="CO97" s="1118"/>
      <c r="CP97" s="1118"/>
      <c r="CQ97" s="1118"/>
      <c r="CR97" s="1118"/>
      <c r="CS97" s="1118"/>
      <c r="CT97" s="1118"/>
      <c r="CU97" s="1118"/>
      <c r="CV97" s="1118"/>
      <c r="CW97" s="1118"/>
      <c r="CX97" s="1118"/>
      <c r="CY97" s="1118"/>
      <c r="CZ97" s="1118"/>
      <c r="DA97" s="1118"/>
      <c r="DB97" s="1118"/>
      <c r="DC97" s="1118"/>
      <c r="DD97" s="1118"/>
      <c r="DE97" s="1118"/>
      <c r="DF97" s="1118"/>
      <c r="DG97" s="1118"/>
      <c r="DH97" s="1118"/>
      <c r="DI97" s="1118"/>
      <c r="DJ97" s="1118"/>
      <c r="DK97" s="1118"/>
      <c r="DL97" s="1118"/>
      <c r="DM97" s="1118"/>
      <c r="DN97" s="1118"/>
      <c r="DO97" s="1118"/>
      <c r="DP97" s="1118"/>
      <c r="DQ97" s="1118"/>
      <c r="DR97" s="1118"/>
      <c r="DS97" s="1118"/>
      <c r="DT97" s="1118"/>
      <c r="DU97" s="1118"/>
      <c r="DV97" s="1118"/>
      <c r="DW97" s="1118"/>
      <c r="DX97" s="1118"/>
      <c r="DY97" s="1118"/>
      <c r="DZ97" s="1118"/>
      <c r="EA97" s="1118"/>
      <c r="EB97" s="1118"/>
      <c r="EC97" s="1118"/>
      <c r="ED97" s="1118"/>
      <c r="EE97" s="1118"/>
      <c r="EF97" s="1118"/>
      <c r="EG97" s="1118"/>
      <c r="EH97" s="1118"/>
      <c r="EI97" s="1118"/>
      <c r="EJ97" s="1118"/>
      <c r="EK97" s="1118"/>
      <c r="EL97" s="1118"/>
      <c r="EM97" s="1118"/>
      <c r="EN97" s="1118"/>
      <c r="EO97" s="1118"/>
      <c r="EP97" s="1118"/>
      <c r="EQ97" s="1118"/>
      <c r="ER97" s="1118"/>
      <c r="ES97" s="1118"/>
      <c r="ET97" s="1118"/>
      <c r="EU97" s="1118"/>
      <c r="EV97" s="1118"/>
      <c r="EW97" s="1118"/>
      <c r="EX97" s="1118"/>
      <c r="EY97" s="1118"/>
      <c r="EZ97" s="1118"/>
      <c r="FA97" s="1118"/>
      <c r="FB97" s="1118"/>
      <c r="FC97" s="1118"/>
      <c r="FD97" s="1118"/>
      <c r="FE97" s="1118"/>
      <c r="FF97" s="1118"/>
      <c r="FG97" s="1118"/>
      <c r="FH97" s="1118"/>
      <c r="FI97" s="1118"/>
      <c r="FJ97" s="1118"/>
      <c r="FK97" s="1118"/>
      <c r="FL97" s="1118"/>
      <c r="FM97" s="1118"/>
      <c r="FN97" s="1118"/>
      <c r="FO97" s="1118"/>
      <c r="FP97" s="1118"/>
      <c r="FQ97" s="1118"/>
      <c r="FR97" s="1118"/>
      <c r="FS97" s="1118"/>
      <c r="FT97" s="1118"/>
      <c r="FU97" s="1118"/>
      <c r="FV97" s="1119"/>
      <c r="FW97" s="1113"/>
      <c r="FX97" s="1114"/>
    </row>
    <row r="98" spans="1:184" s="843" customFormat="1" ht="24.75" customHeight="1">
      <c r="B98" s="841"/>
      <c r="C98" s="842"/>
      <c r="D98" s="842"/>
      <c r="E98"/>
      <c r="F98" s="1120">
        <v>1</v>
      </c>
      <c r="G98" s="1121"/>
      <c r="H98" s="1122"/>
      <c r="I98" s="1130"/>
      <c r="J98" s="1123"/>
      <c r="K98" s="1123"/>
      <c r="L98" s="1123"/>
      <c r="M98" s="1123"/>
      <c r="N98" s="1123"/>
      <c r="O98" s="1124"/>
      <c r="P98" s="1124"/>
      <c r="Q98" s="1124"/>
      <c r="R98" s="1124"/>
      <c r="S98" s="1124"/>
      <c r="T98" s="1124"/>
      <c r="U98" s="1124"/>
      <c r="V98" s="1124"/>
      <c r="W98" s="1124"/>
      <c r="X98" s="1124"/>
      <c r="Y98" s="1124"/>
      <c r="Z98" s="1124"/>
      <c r="AA98" s="1124"/>
      <c r="AB98" s="1124"/>
      <c r="AC98" s="1123"/>
      <c r="AD98" s="1123"/>
      <c r="AE98" s="1123"/>
      <c r="AF98" s="1123"/>
      <c r="AG98" s="1123"/>
      <c r="AH98" s="1123"/>
      <c r="AI98" s="1123"/>
      <c r="AJ98" s="1123"/>
      <c r="AK98" s="1123"/>
      <c r="AL98" s="1123"/>
      <c r="AM98" s="1123"/>
      <c r="AN98" s="1123"/>
      <c r="AO98" s="1123"/>
      <c r="AP98" s="1123"/>
      <c r="AQ98" s="1123"/>
      <c r="AR98" s="1123"/>
      <c r="AS98" s="1123"/>
      <c r="AT98" s="1123"/>
      <c r="AU98" s="1123"/>
      <c r="AV98" s="1123"/>
      <c r="AW98" s="1123"/>
      <c r="AX98" s="1123"/>
      <c r="AY98" s="1123"/>
      <c r="AZ98" s="1123"/>
      <c r="BA98" s="1123"/>
      <c r="BB98" s="1123"/>
      <c r="BC98" s="1123"/>
      <c r="BD98" s="1123"/>
      <c r="BE98" s="1123"/>
      <c r="BF98" s="1123"/>
      <c r="BG98" s="1123"/>
      <c r="BH98" s="1123"/>
      <c r="BI98" s="1123"/>
      <c r="BJ98" s="1123"/>
      <c r="BK98" s="1123"/>
      <c r="BL98" s="1123"/>
      <c r="BM98" s="1123"/>
      <c r="BN98" s="1123"/>
      <c r="BO98" s="1123"/>
      <c r="BP98" s="1123"/>
      <c r="BQ98" s="1123"/>
      <c r="BR98" s="1123"/>
      <c r="BS98" s="1123"/>
      <c r="BT98" s="1125"/>
      <c r="BU98" s="1125"/>
      <c r="BV98" s="1125"/>
      <c r="BW98" s="1125"/>
      <c r="BX98" s="1125"/>
      <c r="BY98" s="1125"/>
      <c r="BZ98" s="1125"/>
      <c r="CA98" s="1125"/>
      <c r="CB98" s="1125"/>
      <c r="CC98" s="1125"/>
      <c r="CD98" s="1125"/>
      <c r="CE98" s="1125"/>
      <c r="CF98" s="1125"/>
      <c r="CG98" s="1125"/>
      <c r="CH98" s="1125"/>
      <c r="CI98" s="1125"/>
      <c r="CJ98" s="1125"/>
      <c r="CK98" s="1125"/>
      <c r="CL98" s="1123"/>
      <c r="CM98" s="1123"/>
      <c r="CN98" s="1123"/>
      <c r="CO98" s="1123"/>
      <c r="CP98" s="1123"/>
      <c r="CQ98" s="1123"/>
      <c r="CR98" s="1123"/>
      <c r="CS98" s="1123"/>
      <c r="CT98" s="1123"/>
      <c r="CU98" s="1123"/>
      <c r="CV98" s="1123"/>
      <c r="CW98" s="1123"/>
      <c r="CX98" s="1123"/>
      <c r="CY98" s="1124"/>
      <c r="CZ98" s="1124"/>
      <c r="DA98" s="1124"/>
      <c r="DB98" s="1124"/>
      <c r="DC98" s="1124"/>
      <c r="DD98" s="1124"/>
      <c r="DE98" s="1124"/>
      <c r="DF98" s="1124"/>
      <c r="DG98" s="1124"/>
      <c r="DH98" s="1124"/>
      <c r="DI98" s="1124"/>
      <c r="DJ98" s="1124"/>
      <c r="DK98" s="1123"/>
      <c r="DL98" s="1123"/>
      <c r="DM98" s="1123"/>
      <c r="DN98" s="1123"/>
      <c r="DO98" s="1123"/>
      <c r="DP98" s="1123"/>
      <c r="DQ98" s="1123"/>
      <c r="DR98" s="1123"/>
      <c r="DS98" s="1123"/>
      <c r="DT98" s="1123"/>
      <c r="DU98" s="1123"/>
      <c r="DV98" s="1123"/>
      <c r="DW98" s="1123"/>
      <c r="DX98" s="1123"/>
      <c r="DY98" s="1123"/>
      <c r="DZ98" s="1123"/>
      <c r="EA98" s="1123"/>
      <c r="EB98" s="1123"/>
      <c r="EC98" s="1123"/>
      <c r="ED98" s="1123"/>
      <c r="EE98" s="1123"/>
      <c r="EF98" s="1123"/>
      <c r="EG98" s="1123"/>
      <c r="EH98" s="1123"/>
      <c r="EI98" s="1123"/>
      <c r="EJ98" s="1123"/>
      <c r="EK98" s="1123"/>
      <c r="EL98" s="1123"/>
      <c r="EM98" s="1123"/>
      <c r="EN98" s="1123"/>
      <c r="EO98" s="1123"/>
      <c r="EP98" s="1123"/>
      <c r="EQ98" s="1123"/>
      <c r="ER98" s="1123"/>
      <c r="ES98" s="1123"/>
      <c r="ET98" s="1123"/>
      <c r="EU98" s="1123"/>
      <c r="EV98" s="1123"/>
      <c r="EW98" s="1123"/>
      <c r="EX98" s="1123"/>
      <c r="EY98" s="1123"/>
      <c r="EZ98" s="1123"/>
      <c r="FA98" s="1123"/>
      <c r="FB98" s="1123"/>
      <c r="FC98" s="1123"/>
      <c r="FD98" s="1123"/>
      <c r="FE98" s="1123"/>
      <c r="FF98" s="1123"/>
      <c r="FG98" s="1123"/>
      <c r="FH98" s="1123"/>
      <c r="FI98" s="1123"/>
      <c r="FJ98" s="1123"/>
      <c r="FK98" s="1123"/>
      <c r="FL98" s="1123"/>
      <c r="FM98" s="1123"/>
      <c r="FN98" s="1123"/>
      <c r="FO98" s="1123"/>
      <c r="FP98" s="1123"/>
      <c r="FQ98" s="1123"/>
      <c r="FR98" s="1123"/>
      <c r="FS98" s="1123"/>
      <c r="FT98" s="1123"/>
      <c r="FU98" s="1123"/>
      <c r="FV98" s="1123"/>
      <c r="FW98" s="1123"/>
      <c r="FX98" s="1114"/>
    </row>
    <row r="99" spans="1:184" s="843" customFormat="1" ht="12" customHeight="1">
      <c r="A99" s="842"/>
      <c r="B99" s="841"/>
      <c r="C99" s="842"/>
      <c r="D99" s="842"/>
      <c r="E99" s="842"/>
      <c r="F99" s="1126"/>
      <c r="G99" s="1729" t="s">
        <v>425</v>
      </c>
      <c r="H99" s="1127"/>
      <c r="I99" s="1127"/>
      <c r="J99" s="1127"/>
      <c r="K99" s="1127"/>
      <c r="L99" s="1127"/>
      <c r="M99" s="1127"/>
      <c r="N99" s="1127"/>
      <c r="O99" s="1127"/>
      <c r="P99" s="1127"/>
      <c r="Q99" s="1127"/>
      <c r="R99" s="1127"/>
      <c r="S99" s="1127"/>
      <c r="T99" s="1127"/>
      <c r="U99" s="1127"/>
      <c r="V99" s="1127"/>
      <c r="W99" s="1127"/>
      <c r="X99" s="1127"/>
      <c r="Y99" s="1127"/>
      <c r="Z99" s="1127"/>
      <c r="AA99" s="1127"/>
      <c r="AB99" s="1127"/>
      <c r="AC99" s="1127"/>
      <c r="AD99" s="1127"/>
      <c r="AE99" s="1127"/>
      <c r="AF99" s="1127"/>
      <c r="AG99" s="1127"/>
      <c r="AH99" s="1127"/>
      <c r="AI99" s="1127"/>
      <c r="AJ99" s="1127"/>
      <c r="AK99" s="1127"/>
      <c r="AL99" s="1127"/>
      <c r="AM99" s="1127"/>
      <c r="AN99" s="1127"/>
      <c r="AO99" s="1127"/>
      <c r="AP99" s="1127"/>
      <c r="AQ99" s="1127"/>
      <c r="AR99" s="1127"/>
      <c r="AS99" s="1127"/>
      <c r="AT99" s="1127"/>
      <c r="AU99" s="1127"/>
      <c r="AV99" s="1127"/>
      <c r="AW99" s="1127"/>
      <c r="AX99" s="1127"/>
      <c r="AY99" s="1127"/>
      <c r="AZ99" s="1127"/>
      <c r="BA99" s="1127"/>
      <c r="BB99" s="1127"/>
      <c r="BC99" s="1127"/>
      <c r="BD99" s="1127"/>
      <c r="BE99" s="1127"/>
      <c r="BF99" s="1127"/>
      <c r="BG99" s="1127"/>
      <c r="BH99" s="1127"/>
      <c r="BI99" s="1127"/>
      <c r="BJ99" s="1127"/>
      <c r="BK99" s="1127"/>
      <c r="BL99" s="1127"/>
      <c r="BM99" s="1127"/>
      <c r="BN99" s="1127"/>
      <c r="BO99" s="1127"/>
      <c r="BP99" s="1127"/>
      <c r="BQ99" s="1127"/>
      <c r="BR99" s="1127"/>
      <c r="BS99" s="1127"/>
      <c r="BT99" s="1127"/>
      <c r="BU99" s="1127"/>
      <c r="BV99" s="1127"/>
      <c r="BW99" s="1127"/>
      <c r="BX99" s="1127"/>
      <c r="BY99" s="1127"/>
      <c r="BZ99" s="1127"/>
      <c r="CA99" s="1127"/>
      <c r="CB99" s="1127"/>
      <c r="CC99" s="1127"/>
      <c r="CD99" s="1127"/>
      <c r="CE99" s="1127"/>
      <c r="CF99" s="1127"/>
      <c r="CG99" s="1127"/>
      <c r="CH99" s="1127"/>
      <c r="CI99" s="1127"/>
      <c r="CJ99" s="1127"/>
      <c r="CK99" s="1127"/>
      <c r="CL99" s="1127"/>
      <c r="CM99" s="1127"/>
      <c r="CN99" s="1127"/>
      <c r="CO99" s="1127"/>
      <c r="CP99" s="1127"/>
      <c r="CQ99" s="1127"/>
      <c r="CR99" s="1127"/>
      <c r="CS99" s="1127"/>
      <c r="CT99" s="1127"/>
      <c r="CU99" s="1127"/>
      <c r="CV99" s="1127"/>
      <c r="CW99" s="1127"/>
      <c r="CX99" s="1127"/>
      <c r="CY99" s="1127"/>
      <c r="CZ99" s="1127"/>
      <c r="DA99" s="1127"/>
      <c r="DB99" s="1127"/>
      <c r="DC99" s="1127"/>
      <c r="DD99" s="1127"/>
      <c r="DE99" s="1127"/>
      <c r="DF99" s="1127"/>
      <c r="DG99" s="1127"/>
      <c r="DH99" s="1127"/>
      <c r="DI99" s="1127"/>
      <c r="DJ99" s="1127"/>
      <c r="DK99" s="1127"/>
      <c r="DL99" s="1127"/>
      <c r="DM99" s="1127"/>
      <c r="DN99" s="1127"/>
      <c r="DO99" s="1127"/>
      <c r="DP99" s="1127"/>
      <c r="DQ99" s="1127"/>
      <c r="DR99" s="1127"/>
      <c r="DS99" s="1127"/>
      <c r="DT99" s="1127"/>
      <c r="DU99" s="1127"/>
      <c r="DV99" s="1127"/>
      <c r="DW99" s="1127"/>
      <c r="DX99" s="1127"/>
      <c r="DY99" s="1127"/>
      <c r="DZ99" s="1127"/>
      <c r="EA99" s="1127"/>
      <c r="EB99" s="1127"/>
      <c r="EC99" s="1127"/>
      <c r="ED99" s="1127"/>
      <c r="EE99" s="1127"/>
      <c r="EF99" s="1127"/>
      <c r="EG99" s="1127"/>
      <c r="EH99" s="1127"/>
      <c r="EI99" s="1127"/>
      <c r="EJ99" s="1127"/>
      <c r="EK99" s="1127"/>
      <c r="EL99" s="1127"/>
      <c r="EM99" s="1127"/>
      <c r="EN99" s="1127"/>
      <c r="EO99" s="1127"/>
      <c r="EP99" s="1127"/>
      <c r="EQ99" s="1127"/>
      <c r="ER99" s="1127"/>
      <c r="ES99" s="1127"/>
      <c r="ET99" s="1127"/>
      <c r="EU99" s="1127"/>
      <c r="EV99" s="1127"/>
      <c r="EW99" s="1127"/>
      <c r="EX99" s="1127"/>
      <c r="EY99" s="1127"/>
      <c r="EZ99" s="1127"/>
      <c r="FA99" s="1127"/>
      <c r="FB99" s="1127"/>
      <c r="FC99" s="1127"/>
      <c r="FD99" s="1127"/>
      <c r="FE99" s="1127"/>
      <c r="FF99" s="1127"/>
      <c r="FG99" s="1127"/>
      <c r="FH99" s="1127"/>
      <c r="FI99" s="1127"/>
      <c r="FJ99" s="1127"/>
      <c r="FK99" s="1127"/>
      <c r="FL99" s="1127"/>
      <c r="FM99" s="1127"/>
      <c r="FN99" s="1127"/>
      <c r="FO99" s="1127"/>
      <c r="FP99" s="1127"/>
      <c r="FQ99" s="1127"/>
      <c r="FR99" s="1127"/>
      <c r="FS99" s="1127"/>
      <c r="FT99" s="1127"/>
      <c r="FU99" s="1127"/>
      <c r="FV99" s="1127"/>
      <c r="FW99" s="1128"/>
      <c r="FX99" s="1129"/>
      <c r="FY99" s="857"/>
      <c r="FZ99" s="857"/>
      <c r="GA99" s="857"/>
      <c r="GB99" s="857"/>
    </row>
    <row r="101" spans="1:184" s="1744" customFormat="1" ht="11.25" customHeight="1">
      <c r="A101" s="1744" t="s">
        <v>426</v>
      </c>
    </row>
    <row r="103" spans="1:184" s="1796" customFormat="1" ht="15" customHeight="1">
      <c r="A103" s="544"/>
      <c r="B103"/>
      <c r="C103"/>
      <c r="D103" s="1969" t="s">
        <v>105</v>
      </c>
      <c r="E103" s="1972" t="s">
        <v>101</v>
      </c>
      <c r="F103" s="1973"/>
      <c r="G103" s="1974"/>
      <c r="H103" s="1975" t="str">
        <f>IF(A103="","",INDEX(DIFFERENTIATION_UNMERGE_VD,MATCH(A103,DIFFERENTIATION_ID_DIFF,0)))</f>
        <v/>
      </c>
      <c r="I103" s="1975"/>
      <c r="J103" s="1975"/>
      <c r="K103" s="1975"/>
      <c r="L103" s="1975"/>
      <c r="M103" s="1975"/>
      <c r="N103" s="1975"/>
      <c r="O103" s="1975"/>
      <c r="P103" s="1975"/>
      <c r="Q103" s="1975"/>
      <c r="R103" s="1975"/>
      <c r="S103" s="638"/>
      <c r="T103" s="635"/>
      <c r="U103" s="545"/>
      <c r="V103" s="545"/>
      <c r="W103" s="546"/>
      <c r="X103" s="546"/>
      <c r="Y103" s="546"/>
      <c r="Z103" s="546"/>
      <c r="AA103" s="547"/>
      <c r="AB103" s="548"/>
      <c r="AC103" s="1984"/>
      <c r="AD103" s="549"/>
      <c r="AE103" s="550" t="s">
        <v>18</v>
      </c>
      <c r="AF103" s="550"/>
      <c r="AG103" s="551" t="s">
        <v>427</v>
      </c>
      <c r="AH103" s="552">
        <v>3</v>
      </c>
      <c r="AI103" s="545"/>
      <c r="AJ103" s="545"/>
      <c r="AK103" s="545"/>
      <c r="AL103" s="545"/>
      <c r="AM103" s="545"/>
      <c r="AN103" s="545"/>
      <c r="AO103" s="545"/>
      <c r="AP103" s="545"/>
      <c r="AQ103" s="545"/>
      <c r="AR103" s="545"/>
      <c r="AS103" s="545"/>
      <c r="AT103" s="545"/>
      <c r="AU103" s="545"/>
      <c r="AV103" s="545"/>
      <c r="AW103" s="545"/>
      <c r="AX103" s="545"/>
      <c r="AY103" s="545"/>
      <c r="AZ103" s="545"/>
      <c r="BA103" s="545"/>
      <c r="BB103" s="545"/>
      <c r="BC103" s="545"/>
      <c r="BD103" s="545"/>
      <c r="BE103" s="545"/>
      <c r="BF103" s="545"/>
      <c r="BG103" s="545"/>
      <c r="BH103" s="545"/>
      <c r="BI103" s="545"/>
      <c r="BJ103" s="545"/>
      <c r="BK103" s="545"/>
      <c r="BL103" s="545"/>
      <c r="BM103" s="545"/>
      <c r="BN103" s="545"/>
      <c r="BO103" s="545"/>
      <c r="BP103" s="545"/>
      <c r="BQ103" s="545"/>
      <c r="BR103" s="545"/>
      <c r="BS103" s="545"/>
      <c r="BT103" s="545"/>
      <c r="BU103" s="545"/>
      <c r="BV103" s="546"/>
      <c r="BW103" s="546"/>
      <c r="BX103" s="546"/>
      <c r="BY103" s="546"/>
      <c r="BZ103" s="546"/>
      <c r="CA103" s="546"/>
      <c r="CB103" s="546"/>
      <c r="CC103" s="546"/>
      <c r="CD103" s="546"/>
      <c r="CE103" s="546"/>
    </row>
    <row r="104" spans="1:184" s="1796" customFormat="1" ht="15" customHeight="1">
      <c r="A104" s="544"/>
      <c r="B104"/>
      <c r="C104"/>
      <c r="D104" s="1970"/>
      <c r="E104" s="1972" t="s">
        <v>428</v>
      </c>
      <c r="F104" s="1973"/>
      <c r="G104" s="1974"/>
      <c r="H104" s="1975" t="str">
        <f>IF(A103="","",INDEX(DIFFERENTIATION_UNMERGE_AREA,MATCH(A103,DIFFERENTIATION_ID_DIFF,0)))</f>
        <v/>
      </c>
      <c r="I104" s="1975"/>
      <c r="J104" s="1975"/>
      <c r="K104" s="1975"/>
      <c r="L104" s="1975"/>
      <c r="M104" s="1975"/>
      <c r="N104" s="1975"/>
      <c r="O104" s="1975"/>
      <c r="P104" s="1975"/>
      <c r="Q104" s="1975"/>
      <c r="R104" s="1975"/>
      <c r="S104" s="638"/>
      <c r="T104" s="635"/>
      <c r="U104" s="545"/>
      <c r="V104" s="545"/>
      <c r="W104" s="546"/>
      <c r="X104" s="546"/>
      <c r="Y104" s="546"/>
      <c r="Z104" s="546"/>
      <c r="AA104" s="547"/>
      <c r="AB104" s="548"/>
      <c r="AC104" s="1984"/>
      <c r="AD104" s="549"/>
      <c r="AE104" s="550"/>
      <c r="AF104" s="550"/>
      <c r="AG104" s="551"/>
      <c r="AH104" s="552"/>
      <c r="AI104" s="545"/>
      <c r="AJ104" s="545"/>
      <c r="AK104" s="545"/>
      <c r="AL104" s="545"/>
      <c r="AM104" s="545"/>
      <c r="AN104" s="545"/>
      <c r="AO104" s="545"/>
      <c r="AP104" s="545"/>
      <c r="AQ104" s="545"/>
      <c r="AR104" s="545"/>
      <c r="AS104" s="545"/>
      <c r="AT104" s="545"/>
      <c r="AU104" s="545"/>
      <c r="AV104" s="545"/>
      <c r="AW104" s="545"/>
      <c r="AX104" s="545"/>
      <c r="AY104" s="545"/>
      <c r="AZ104" s="545"/>
      <c r="BA104" s="545"/>
      <c r="BB104" s="545"/>
      <c r="BC104" s="545"/>
      <c r="BD104" s="545"/>
      <c r="BE104" s="545"/>
      <c r="BF104" s="545"/>
      <c r="BG104" s="545"/>
      <c r="BH104" s="545"/>
      <c r="BI104" s="545"/>
      <c r="BJ104" s="545"/>
      <c r="BK104" s="545"/>
      <c r="BL104" s="545"/>
      <c r="BM104" s="545"/>
      <c r="BN104" s="545"/>
      <c r="BO104" s="545"/>
      <c r="BP104" s="545"/>
      <c r="BQ104" s="545"/>
      <c r="BR104" s="545"/>
      <c r="BS104" s="545"/>
      <c r="BT104" s="545"/>
      <c r="BU104" s="545"/>
      <c r="BV104" s="546"/>
      <c r="BW104" s="546"/>
      <c r="BX104" s="546"/>
      <c r="BY104" s="546"/>
      <c r="BZ104" s="546"/>
      <c r="CA104" s="546"/>
      <c r="CB104" s="546"/>
      <c r="CC104" s="546"/>
      <c r="CD104" s="546"/>
      <c r="CE104" s="546"/>
    </row>
    <row r="105" spans="1:184" s="1796" customFormat="1" ht="15" customHeight="1">
      <c r="A105" s="544"/>
      <c r="B105"/>
      <c r="C105"/>
      <c r="D105" s="1970"/>
      <c r="E105" s="1972" t="s">
        <v>429</v>
      </c>
      <c r="F105" s="1973"/>
      <c r="G105" s="1974"/>
      <c r="H105" s="1975" t="str">
        <f>IF(A103="","",INDEX(DIFFERENTIATION_UNMERGE_SYSTEM,MATCH(A103,DIFFERENTIATION_ID_DIFF,0)))</f>
        <v/>
      </c>
      <c r="I105" s="1975"/>
      <c r="J105" s="1975"/>
      <c r="K105" s="1975"/>
      <c r="L105" s="1975"/>
      <c r="M105" s="1975"/>
      <c r="N105" s="1975"/>
      <c r="O105" s="1975"/>
      <c r="P105" s="1975"/>
      <c r="Q105" s="1975"/>
      <c r="R105" s="1975"/>
      <c r="S105" s="638"/>
      <c r="T105" s="635"/>
      <c r="U105" s="545"/>
      <c r="V105" s="545"/>
      <c r="W105" s="546"/>
      <c r="X105" s="546"/>
      <c r="Y105" s="546"/>
      <c r="Z105" s="546"/>
      <c r="AA105" s="547"/>
      <c r="AB105" s="548"/>
      <c r="AC105" s="1984"/>
      <c r="AD105" s="549"/>
      <c r="AE105" s="550"/>
      <c r="AF105" s="550"/>
      <c r="AG105" s="551"/>
      <c r="AH105" s="552"/>
      <c r="AI105" s="545"/>
      <c r="AJ105" s="545"/>
      <c r="AK105" s="545"/>
      <c r="AL105" s="545"/>
      <c r="AM105" s="545"/>
      <c r="AN105" s="545"/>
      <c r="AO105" s="545"/>
      <c r="AP105" s="545"/>
      <c r="AQ105" s="545"/>
      <c r="AR105" s="545"/>
      <c r="AS105" s="545"/>
      <c r="AT105" s="545"/>
      <c r="AU105" s="545"/>
      <c r="AV105" s="545"/>
      <c r="AW105" s="545"/>
      <c r="AX105" s="545"/>
      <c r="AY105" s="545"/>
      <c r="AZ105" s="545"/>
      <c r="BA105" s="545"/>
      <c r="BB105" s="545"/>
      <c r="BC105" s="545"/>
      <c r="BD105" s="545"/>
      <c r="BE105" s="545"/>
      <c r="BF105" s="545"/>
      <c r="BG105" s="545"/>
      <c r="BH105" s="545"/>
      <c r="BI105" s="545"/>
      <c r="BJ105" s="545"/>
      <c r="BK105" s="545"/>
      <c r="BL105" s="545"/>
      <c r="BM105" s="545"/>
      <c r="BN105" s="545"/>
      <c r="BO105" s="545"/>
      <c r="BP105" s="545"/>
      <c r="BQ105" s="545"/>
      <c r="BR105" s="545"/>
      <c r="BS105" s="545"/>
      <c r="BT105" s="545"/>
      <c r="BU105" s="545"/>
      <c r="BV105" s="546"/>
      <c r="BW105" s="546"/>
      <c r="BX105" s="546"/>
      <c r="BY105" s="546"/>
      <c r="BZ105" s="546"/>
      <c r="CA105" s="546"/>
      <c r="CB105" s="546"/>
      <c r="CC105" s="546"/>
      <c r="CD105" s="546"/>
      <c r="CE105" s="546"/>
    </row>
    <row r="106" spans="1:184" s="1796" customFormat="1" ht="24.75" customHeight="1">
      <c r="A106" s="1735"/>
      <c r="B106" s="1070"/>
      <c r="C106" s="342"/>
      <c r="D106" s="1970"/>
      <c r="E106" s="1990" t="s">
        <v>430</v>
      </c>
      <c r="F106" s="1990"/>
      <c r="G106" s="1990"/>
      <c r="H106" s="1990"/>
      <c r="I106" s="1990"/>
      <c r="J106" s="1990"/>
      <c r="K106" s="1990"/>
      <c r="L106" s="1990"/>
      <c r="M106" s="1990"/>
      <c r="N106" s="1990"/>
      <c r="O106" s="1990"/>
      <c r="P106" s="1990"/>
      <c r="Q106" s="483">
        <f>SUMIF(T107:T108,"i",Q107:Q108)</f>
        <v>0</v>
      </c>
      <c r="R106" s="933"/>
      <c r="S106" s="1727" t="s">
        <v>431</v>
      </c>
      <c r="T106" s="636" t="s">
        <v>432</v>
      </c>
      <c r="U106" s="1961">
        <v>1</v>
      </c>
      <c r="V106" s="1961" t="s">
        <v>433</v>
      </c>
      <c r="W106" s="1070"/>
      <c r="X106" s="1070"/>
      <c r="Y106" s="1070"/>
      <c r="Z106" s="1070"/>
      <c r="AA106" s="1561"/>
      <c r="AB106" s="1070"/>
      <c r="AC106" s="1984"/>
      <c r="AD106" s="549"/>
      <c r="AE106" s="1070"/>
      <c r="AF106" s="1070"/>
      <c r="AG106" s="1561"/>
      <c r="AH106" s="1561"/>
      <c r="AI106" s="1561"/>
      <c r="AJ106" s="1561"/>
      <c r="AK106" s="1561"/>
      <c r="AL106" s="1561"/>
      <c r="AM106" s="1561"/>
      <c r="AN106" s="1561"/>
      <c r="AO106" s="1561"/>
      <c r="AP106" s="1561"/>
      <c r="AQ106" s="1561"/>
      <c r="AR106" s="1561"/>
      <c r="AS106" s="1561"/>
      <c r="AT106" s="1561"/>
      <c r="AU106" s="1561"/>
      <c r="AV106" s="1561"/>
      <c r="AW106" s="1561"/>
      <c r="AX106" s="1561"/>
      <c r="AY106" s="1561"/>
      <c r="AZ106" s="1561"/>
      <c r="BA106" s="1561"/>
      <c r="BB106" s="1561"/>
      <c r="BC106" s="1561"/>
      <c r="BD106" s="1561"/>
      <c r="BE106" s="1561"/>
      <c r="BF106" s="1561"/>
      <c r="BG106" s="1561"/>
      <c r="BH106" s="1561"/>
      <c r="BI106" s="1561"/>
      <c r="BJ106" s="1561"/>
      <c r="BK106" s="1561"/>
      <c r="BL106" s="1561"/>
      <c r="BM106" s="1561"/>
      <c r="BN106" s="1561"/>
      <c r="BO106" s="1561"/>
      <c r="BP106" s="1561"/>
      <c r="BQ106" s="1561"/>
      <c r="BR106" s="1561"/>
      <c r="BS106" s="1561"/>
      <c r="BT106" s="1561"/>
      <c r="BU106" s="1561"/>
      <c r="BV106" s="1070"/>
      <c r="BW106" s="1070"/>
      <c r="BX106" s="1070"/>
      <c r="BY106" s="1070"/>
      <c r="BZ106" s="1070"/>
      <c r="CA106" s="1070"/>
      <c r="CB106" s="1070"/>
      <c r="CC106" s="1070"/>
      <c r="CD106" s="1070"/>
      <c r="CE106" s="1070"/>
    </row>
    <row r="107" spans="1:184" s="1796" customFormat="1" ht="11.25" hidden="1" customHeight="1">
      <c r="A107" s="1722"/>
      <c r="B107" s="1561"/>
      <c r="C107" s="1561"/>
      <c r="D107" s="1970"/>
      <c r="E107" s="555"/>
      <c r="F107" s="555">
        <v>0</v>
      </c>
      <c r="G107" s="555"/>
      <c r="H107" s="555"/>
      <c r="I107" s="555"/>
      <c r="J107" s="555"/>
      <c r="K107" s="555"/>
      <c r="L107" s="555"/>
      <c r="M107" s="555"/>
      <c r="N107" s="555"/>
      <c r="O107" s="555"/>
      <c r="P107" s="555"/>
      <c r="Q107" s="555"/>
      <c r="R107" s="555"/>
      <c r="S107" s="556"/>
      <c r="T107" s="637"/>
      <c r="U107" s="1961"/>
      <c r="V107" s="1961"/>
      <c r="W107" s="1561"/>
      <c r="X107" s="1561"/>
      <c r="Y107" s="1561"/>
      <c r="Z107" s="1561"/>
      <c r="AA107" s="1561"/>
      <c r="AB107" s="1070"/>
      <c r="AC107" s="1984"/>
      <c r="AD107" s="549"/>
      <c r="AE107" s="1070"/>
      <c r="AF107" s="1070"/>
      <c r="AG107" s="1561"/>
      <c r="AH107" s="1561"/>
      <c r="AI107" s="1561"/>
      <c r="AJ107" s="1561"/>
      <c r="AK107" s="1561"/>
      <c r="AL107" s="1561"/>
      <c r="AM107" s="1561"/>
      <c r="AN107" s="1561"/>
      <c r="AO107" s="1561"/>
      <c r="AP107" s="1561"/>
      <c r="AQ107" s="1561"/>
      <c r="AR107" s="1561"/>
      <c r="AS107" s="1561"/>
      <c r="AT107" s="1561"/>
      <c r="AU107" s="1561"/>
      <c r="AV107" s="1561"/>
      <c r="AW107" s="1561"/>
      <c r="AX107" s="1561"/>
      <c r="AY107" s="1561"/>
      <c r="AZ107" s="1561"/>
      <c r="BA107" s="1561"/>
      <c r="BB107" s="1561"/>
      <c r="BC107" s="1561"/>
      <c r="BD107" s="1561"/>
      <c r="BE107" s="1561"/>
      <c r="BF107" s="1561"/>
      <c r="BG107" s="1561"/>
      <c r="BH107" s="1561"/>
      <c r="BI107" s="1561"/>
      <c r="BJ107" s="1561"/>
      <c r="BK107" s="1561"/>
      <c r="BL107" s="1561"/>
      <c r="BM107" s="1561"/>
      <c r="BN107" s="1561"/>
      <c r="BO107" s="1561"/>
      <c r="BP107" s="1561"/>
      <c r="BQ107" s="1561"/>
      <c r="BR107" s="1561"/>
      <c r="BS107" s="1561"/>
      <c r="BT107" s="1561"/>
      <c r="BU107" s="1561"/>
      <c r="BV107" s="1561"/>
      <c r="BW107" s="1561"/>
      <c r="BX107" s="1561"/>
      <c r="BY107" s="1561"/>
      <c r="BZ107" s="1561"/>
      <c r="CA107" s="1561"/>
      <c r="CB107" s="1561"/>
      <c r="CC107" s="1561"/>
      <c r="CD107" s="1561"/>
      <c r="CE107" s="1561"/>
    </row>
    <row r="108" spans="1:184" s="1796" customFormat="1" ht="11.25" customHeight="1">
      <c r="A108" s="1735"/>
      <c r="B108" s="1070"/>
      <c r="C108" s="342"/>
      <c r="D108" s="1970"/>
      <c r="E108" s="569" t="s">
        <v>18</v>
      </c>
      <c r="F108" s="1078" t="s">
        <v>18</v>
      </c>
      <c r="G108" s="1078" t="s">
        <v>434</v>
      </c>
      <c r="H108" s="571" t="s">
        <v>18</v>
      </c>
      <c r="I108" s="571"/>
      <c r="J108" s="571"/>
      <c r="K108" s="571"/>
      <c r="L108" s="571"/>
      <c r="M108" s="571"/>
      <c r="N108" s="571"/>
      <c r="O108" s="571"/>
      <c r="P108" s="571"/>
      <c r="Q108" s="571"/>
      <c r="R108" s="572"/>
      <c r="S108" s="573"/>
      <c r="T108" s="637"/>
      <c r="U108" s="1961"/>
      <c r="V108" s="1961"/>
      <c r="W108" s="1070"/>
      <c r="X108" s="1070"/>
      <c r="Y108" s="1070"/>
      <c r="Z108" s="1070"/>
      <c r="AA108" s="1561"/>
      <c r="AB108" s="1070"/>
      <c r="AC108" s="1984"/>
      <c r="AD108" s="549"/>
      <c r="AE108" s="1070"/>
      <c r="AF108" s="1070"/>
      <c r="AG108" s="1561"/>
      <c r="AH108" s="1561"/>
      <c r="AI108" s="1561"/>
      <c r="AJ108" s="1561"/>
      <c r="AK108" s="1561"/>
      <c r="AL108" s="1561"/>
      <c r="AM108" s="1561"/>
      <c r="AN108" s="1561"/>
      <c r="AO108" s="1561"/>
      <c r="AP108" s="1561"/>
      <c r="AQ108" s="1561"/>
      <c r="AR108" s="1561"/>
      <c r="AS108" s="1561"/>
      <c r="AT108" s="1561"/>
      <c r="AU108" s="1561"/>
      <c r="AV108" s="1561"/>
      <c r="AW108" s="1561"/>
      <c r="AX108" s="1561"/>
      <c r="AY108" s="1561"/>
      <c r="AZ108" s="1561"/>
      <c r="BA108" s="1561"/>
      <c r="BB108" s="1561"/>
      <c r="BC108" s="1561"/>
      <c r="BD108" s="1561"/>
      <c r="BE108" s="1561"/>
      <c r="BF108" s="1561"/>
      <c r="BG108" s="1561"/>
      <c r="BH108" s="1561"/>
      <c r="BI108" s="1561"/>
      <c r="BJ108" s="1561"/>
      <c r="BK108" s="1561"/>
      <c r="BL108" s="1561"/>
      <c r="BM108" s="1561"/>
      <c r="BN108" s="1561"/>
      <c r="BO108" s="1561"/>
      <c r="BP108" s="1561"/>
      <c r="BQ108" s="1561"/>
      <c r="BR108" s="1561"/>
      <c r="BS108" s="1561"/>
      <c r="BT108" s="1561"/>
      <c r="BU108" s="1561"/>
      <c r="BV108" s="1070"/>
      <c r="BW108" s="1070"/>
      <c r="BX108" s="1070"/>
      <c r="BY108" s="1070"/>
      <c r="BZ108" s="1070"/>
      <c r="CA108" s="1070"/>
      <c r="CB108" s="1070"/>
      <c r="CC108" s="1070"/>
      <c r="CD108" s="1070"/>
      <c r="CE108" s="1070"/>
    </row>
    <row r="109" spans="1:184" s="1796" customFormat="1" ht="24.75" customHeight="1">
      <c r="A109" s="1735"/>
      <c r="B109" s="1070"/>
      <c r="C109" s="342"/>
      <c r="D109" s="1970"/>
      <c r="E109" s="1990" t="s">
        <v>435</v>
      </c>
      <c r="F109" s="1990"/>
      <c r="G109" s="1990"/>
      <c r="H109" s="1990"/>
      <c r="I109" s="1990"/>
      <c r="J109" s="1990"/>
      <c r="K109" s="1990"/>
      <c r="L109" s="1990"/>
      <c r="M109" s="1990"/>
      <c r="N109" s="1990"/>
      <c r="O109" s="1990"/>
      <c r="P109" s="1990"/>
      <c r="Q109" s="483">
        <f>SUMIF(T110:T111,"i",Q110:Q111)</f>
        <v>0</v>
      </c>
      <c r="R109" s="933"/>
      <c r="S109" s="1727" t="s">
        <v>436</v>
      </c>
      <c r="T109" s="636" t="s">
        <v>432</v>
      </c>
      <c r="U109" s="1961">
        <v>1</v>
      </c>
      <c r="V109" s="1961" t="s">
        <v>433</v>
      </c>
      <c r="W109" s="1070"/>
      <c r="X109" s="1070"/>
      <c r="Y109" s="1070"/>
      <c r="Z109" s="1070"/>
      <c r="AA109" s="1561"/>
      <c r="AB109" s="1070"/>
      <c r="AC109" s="1725"/>
      <c r="AD109" s="549"/>
      <c r="AE109" s="1070"/>
      <c r="AF109" s="1070"/>
      <c r="AG109" s="1561"/>
      <c r="AH109" s="1561"/>
      <c r="AI109" s="1561"/>
      <c r="AJ109" s="1561"/>
      <c r="AK109" s="1561"/>
      <c r="AL109" s="1561"/>
      <c r="AM109" s="1561"/>
      <c r="AN109" s="1561"/>
      <c r="AO109" s="1561"/>
      <c r="AP109" s="1561"/>
      <c r="AQ109" s="1561"/>
      <c r="AR109" s="1561"/>
      <c r="AS109" s="1561"/>
      <c r="AT109" s="1561"/>
      <c r="AU109" s="1561"/>
      <c r="AV109" s="1561"/>
      <c r="AW109" s="1561"/>
      <c r="AX109" s="1561"/>
      <c r="AY109" s="1561"/>
      <c r="AZ109" s="1561"/>
      <c r="BA109" s="1561"/>
      <c r="BB109" s="1561"/>
      <c r="BC109" s="1561"/>
      <c r="BD109" s="1561"/>
      <c r="BE109" s="1561"/>
      <c r="BF109" s="1561"/>
      <c r="BG109" s="1561"/>
      <c r="BH109" s="1561"/>
      <c r="BI109" s="1561"/>
      <c r="BJ109" s="1561"/>
      <c r="BK109" s="1561"/>
      <c r="BL109" s="1561"/>
      <c r="BM109" s="1561"/>
      <c r="BN109" s="1561"/>
      <c r="BO109" s="1561"/>
      <c r="BP109" s="1561"/>
      <c r="BQ109" s="1561"/>
      <c r="BR109" s="1561"/>
      <c r="BS109" s="1561"/>
      <c r="BT109" s="1561"/>
      <c r="BU109" s="1561"/>
      <c r="BV109" s="1070"/>
      <c r="BW109" s="1070"/>
      <c r="BX109" s="1070"/>
      <c r="BY109" s="1070"/>
      <c r="BZ109" s="1070"/>
      <c r="CA109" s="1070"/>
      <c r="CB109" s="1070"/>
      <c r="CC109" s="1070"/>
      <c r="CD109" s="1070"/>
      <c r="CE109" s="1070"/>
    </row>
    <row r="110" spans="1:184" s="1796" customFormat="1" ht="11.25" hidden="1" customHeight="1">
      <c r="A110" s="1722"/>
      <c r="B110" s="1561"/>
      <c r="C110" s="1561"/>
      <c r="D110" s="1970"/>
      <c r="E110" s="555"/>
      <c r="F110" s="555">
        <v>0</v>
      </c>
      <c r="G110" s="555"/>
      <c r="H110" s="555"/>
      <c r="I110" s="555"/>
      <c r="J110" s="555"/>
      <c r="K110" s="555"/>
      <c r="L110" s="555"/>
      <c r="M110" s="555"/>
      <c r="N110" s="555"/>
      <c r="O110" s="555"/>
      <c r="P110" s="555"/>
      <c r="Q110" s="555"/>
      <c r="R110" s="555"/>
      <c r="S110" s="556"/>
      <c r="T110" s="637"/>
      <c r="U110" s="1961"/>
      <c r="V110" s="1961"/>
      <c r="W110" s="1561"/>
      <c r="X110" s="1561"/>
      <c r="Y110" s="1561"/>
      <c r="Z110" s="1561"/>
      <c r="AA110" s="1561"/>
      <c r="AB110" s="1070"/>
      <c r="AC110" s="1725"/>
      <c r="AD110" s="549"/>
      <c r="AE110" s="1070"/>
      <c r="AF110" s="1070"/>
      <c r="AG110" s="1561"/>
      <c r="AH110" s="1561"/>
      <c r="AI110" s="1561"/>
      <c r="AJ110" s="1561"/>
      <c r="AK110" s="1561"/>
      <c r="AL110" s="1561"/>
      <c r="AM110" s="1561"/>
      <c r="AN110" s="1561"/>
      <c r="AO110" s="1561"/>
      <c r="AP110" s="1561"/>
      <c r="AQ110" s="1561"/>
      <c r="AR110" s="1561"/>
      <c r="AS110" s="1561"/>
      <c r="AT110" s="1561"/>
      <c r="AU110" s="1561"/>
      <c r="AV110" s="1561"/>
      <c r="AW110" s="1561"/>
      <c r="AX110" s="1561"/>
      <c r="AY110" s="1561"/>
      <c r="AZ110" s="1561"/>
      <c r="BA110" s="1561"/>
      <c r="BB110" s="1561"/>
      <c r="BC110" s="1561"/>
      <c r="BD110" s="1561"/>
      <c r="BE110" s="1561"/>
      <c r="BF110" s="1561"/>
      <c r="BG110" s="1561"/>
      <c r="BH110" s="1561"/>
      <c r="BI110" s="1561"/>
      <c r="BJ110" s="1561"/>
      <c r="BK110" s="1561"/>
      <c r="BL110" s="1561"/>
      <c r="BM110" s="1561"/>
      <c r="BN110" s="1561"/>
      <c r="BO110" s="1561"/>
      <c r="BP110" s="1561"/>
      <c r="BQ110" s="1561"/>
      <c r="BR110" s="1561"/>
      <c r="BS110" s="1561"/>
      <c r="BT110" s="1561"/>
      <c r="BU110" s="1561"/>
      <c r="BV110" s="1561"/>
      <c r="BW110" s="1561"/>
      <c r="BX110" s="1561"/>
      <c r="BY110" s="1561"/>
      <c r="BZ110" s="1561"/>
      <c r="CA110" s="1561"/>
      <c r="CB110" s="1561"/>
      <c r="CC110" s="1561"/>
      <c r="CD110" s="1561"/>
      <c r="CE110" s="1561"/>
    </row>
    <row r="111" spans="1:184" s="1796" customFormat="1" ht="11.25" customHeight="1">
      <c r="A111" s="1735"/>
      <c r="B111" s="1070"/>
      <c r="C111" s="342"/>
      <c r="D111" s="1971"/>
      <c r="E111" s="569" t="s">
        <v>18</v>
      </c>
      <c r="F111" s="1078" t="s">
        <v>18</v>
      </c>
      <c r="G111" s="1078" t="s">
        <v>434</v>
      </c>
      <c r="H111" s="571" t="s">
        <v>18</v>
      </c>
      <c r="I111" s="571"/>
      <c r="J111" s="571"/>
      <c r="K111" s="571"/>
      <c r="L111" s="571"/>
      <c r="M111" s="571"/>
      <c r="N111" s="571"/>
      <c r="O111" s="571"/>
      <c r="P111" s="571"/>
      <c r="Q111" s="571"/>
      <c r="R111" s="572"/>
      <c r="S111" s="573"/>
      <c r="T111" s="637"/>
      <c r="U111" s="1961"/>
      <c r="V111" s="1961"/>
      <c r="W111" s="1070"/>
      <c r="X111" s="1070"/>
      <c r="Y111" s="1070"/>
      <c r="Z111" s="1070"/>
      <c r="AA111" s="1561"/>
      <c r="AB111" s="1070"/>
      <c r="AC111" s="1725"/>
      <c r="AD111" s="549"/>
      <c r="AE111" s="1070"/>
      <c r="AF111" s="1070"/>
      <c r="AG111" s="1561"/>
      <c r="AH111" s="1561"/>
      <c r="AI111" s="1561"/>
      <c r="AJ111" s="1561"/>
      <c r="AK111" s="1561"/>
      <c r="AL111" s="1561"/>
      <c r="AM111" s="1561"/>
      <c r="AN111" s="1561"/>
      <c r="AO111" s="1561"/>
      <c r="AP111" s="1561"/>
      <c r="AQ111" s="1561"/>
      <c r="AR111" s="1561"/>
      <c r="AS111" s="1561"/>
      <c r="AT111" s="1561"/>
      <c r="AU111" s="1561"/>
      <c r="AV111" s="1561"/>
      <c r="AW111" s="1561"/>
      <c r="AX111" s="1561"/>
      <c r="AY111" s="1561"/>
      <c r="AZ111" s="1561"/>
      <c r="BA111" s="1561"/>
      <c r="BB111" s="1561"/>
      <c r="BC111" s="1561"/>
      <c r="BD111" s="1561"/>
      <c r="BE111" s="1561"/>
      <c r="BF111" s="1561"/>
      <c r="BG111" s="1561"/>
      <c r="BH111" s="1561"/>
      <c r="BI111" s="1561"/>
      <c r="BJ111" s="1561"/>
      <c r="BK111" s="1561"/>
      <c r="BL111" s="1561"/>
      <c r="BM111" s="1561"/>
      <c r="BN111" s="1561"/>
      <c r="BO111" s="1561"/>
      <c r="BP111" s="1561"/>
      <c r="BQ111" s="1561"/>
      <c r="BR111" s="1561"/>
      <c r="BS111" s="1561"/>
      <c r="BT111" s="1561"/>
      <c r="BU111" s="1561"/>
      <c r="BV111" s="1070"/>
      <c r="BW111" s="1070"/>
      <c r="BX111" s="1070"/>
      <c r="BY111" s="1070"/>
      <c r="BZ111" s="1070"/>
      <c r="CA111" s="1070"/>
      <c r="CB111" s="1070"/>
      <c r="CC111" s="1070"/>
      <c r="CD111" s="1070"/>
      <c r="CE111" s="1070"/>
    </row>
    <row r="113" spans="1:83" s="1744" customFormat="1" ht="11.25" customHeight="1">
      <c r="A113" s="1744" t="s">
        <v>437</v>
      </c>
    </row>
    <row r="115" spans="1:83" s="1796" customFormat="1" ht="15" customHeight="1">
      <c r="A115" s="544"/>
      <c r="B115"/>
      <c r="C115"/>
      <c r="D115" s="1969" t="s">
        <v>105</v>
      </c>
      <c r="E115" s="1972" t="s">
        <v>101</v>
      </c>
      <c r="F115" s="1973"/>
      <c r="G115" s="1974"/>
      <c r="H115" s="1975" t="str">
        <f>IF(A115="","",INDEX(DIFFERENTIATION_UNMERGE_VD,MATCH(A115,DIFFERENTIATION_ID_DIFF,0)))</f>
        <v/>
      </c>
      <c r="I115" s="1975"/>
      <c r="J115" s="1975"/>
      <c r="K115" s="1975"/>
      <c r="L115" s="1975"/>
      <c r="M115" s="1975"/>
      <c r="N115" s="1975"/>
      <c r="O115" s="1975"/>
      <c r="P115" s="1975"/>
      <c r="Q115" s="1975"/>
      <c r="R115" s="1975"/>
      <c r="S115" s="638"/>
      <c r="T115" s="635"/>
      <c r="U115" s="545"/>
      <c r="V115" s="545"/>
      <c r="W115" s="546"/>
      <c r="X115" s="546"/>
      <c r="Y115" s="546"/>
      <c r="Z115" s="546"/>
      <c r="AA115" s="547"/>
      <c r="AB115" s="548"/>
      <c r="AC115" s="1984"/>
      <c r="AD115" s="549"/>
      <c r="AE115" s="550" t="s">
        <v>18</v>
      </c>
      <c r="AF115" s="550"/>
      <c r="AG115" s="551" t="s">
        <v>427</v>
      </c>
      <c r="AH115" s="552">
        <v>3</v>
      </c>
      <c r="AI115" s="545"/>
      <c r="AJ115" s="545"/>
      <c r="AK115" s="545"/>
      <c r="AL115" s="545"/>
      <c r="AM115" s="545"/>
      <c r="AN115" s="545"/>
      <c r="AO115" s="545"/>
      <c r="AP115" s="545"/>
      <c r="AQ115" s="545"/>
      <c r="AR115" s="545"/>
      <c r="AS115" s="545"/>
      <c r="AT115" s="545"/>
      <c r="AU115" s="545"/>
      <c r="AV115" s="545"/>
      <c r="AW115" s="545"/>
      <c r="AX115" s="545"/>
      <c r="AY115" s="545"/>
      <c r="AZ115" s="545"/>
      <c r="BA115" s="545"/>
      <c r="BB115" s="545"/>
      <c r="BC115" s="545"/>
      <c r="BD115" s="545"/>
      <c r="BE115" s="545"/>
      <c r="BF115" s="545"/>
      <c r="BG115" s="545"/>
      <c r="BH115" s="545"/>
      <c r="BI115" s="545"/>
      <c r="BJ115" s="545"/>
      <c r="BK115" s="545"/>
      <c r="BL115" s="545"/>
      <c r="BM115" s="545"/>
      <c r="BN115" s="545"/>
      <c r="BO115" s="545"/>
      <c r="BP115" s="545"/>
      <c r="BQ115" s="545"/>
      <c r="BR115" s="545"/>
      <c r="BS115" s="545"/>
      <c r="BT115" s="545"/>
      <c r="BU115" s="545"/>
      <c r="BV115" s="546"/>
      <c r="BW115" s="546"/>
      <c r="BX115" s="546"/>
      <c r="BY115" s="546"/>
      <c r="BZ115" s="546"/>
      <c r="CA115" s="546"/>
      <c r="CB115" s="546"/>
      <c r="CC115" s="546"/>
      <c r="CD115" s="546"/>
      <c r="CE115" s="546"/>
    </row>
    <row r="116" spans="1:83" s="1796" customFormat="1" ht="15" customHeight="1">
      <c r="A116" s="544"/>
      <c r="B116"/>
      <c r="C116"/>
      <c r="D116" s="1970"/>
      <c r="E116" s="1972" t="s">
        <v>428</v>
      </c>
      <c r="F116" s="1973"/>
      <c r="G116" s="1974"/>
      <c r="H116" s="1975" t="str">
        <f>IF(A115="","",INDEX(DIFFERENTIATION_UNMERGE_AREA,MATCH(A115,DIFFERENTIATION_ID_DIFF,0)))</f>
        <v/>
      </c>
      <c r="I116" s="1975"/>
      <c r="J116" s="1975"/>
      <c r="K116" s="1975"/>
      <c r="L116" s="1975"/>
      <c r="M116" s="1975"/>
      <c r="N116" s="1975"/>
      <c r="O116" s="1975"/>
      <c r="P116" s="1975"/>
      <c r="Q116" s="1975"/>
      <c r="R116" s="1975"/>
      <c r="S116" s="638"/>
      <c r="T116" s="635"/>
      <c r="U116" s="545"/>
      <c r="V116" s="545"/>
      <c r="W116" s="546"/>
      <c r="X116" s="546"/>
      <c r="Y116" s="546"/>
      <c r="Z116" s="546"/>
      <c r="AA116" s="547"/>
      <c r="AB116" s="548"/>
      <c r="AC116" s="1984"/>
      <c r="AD116" s="549"/>
      <c r="AE116" s="550"/>
      <c r="AF116" s="550"/>
      <c r="AG116" s="551"/>
      <c r="AH116" s="552"/>
      <c r="AI116" s="545"/>
      <c r="AJ116" s="545"/>
      <c r="AK116" s="545"/>
      <c r="AL116" s="545"/>
      <c r="AM116" s="545"/>
      <c r="AN116" s="545"/>
      <c r="AO116" s="545"/>
      <c r="AP116" s="545"/>
      <c r="AQ116" s="545"/>
      <c r="AR116" s="545"/>
      <c r="AS116" s="545"/>
      <c r="AT116" s="545"/>
      <c r="AU116" s="545"/>
      <c r="AV116" s="545"/>
      <c r="AW116" s="545"/>
      <c r="AX116" s="545"/>
      <c r="AY116" s="545"/>
      <c r="AZ116" s="545"/>
      <c r="BA116" s="545"/>
      <c r="BB116" s="545"/>
      <c r="BC116" s="545"/>
      <c r="BD116" s="545"/>
      <c r="BE116" s="545"/>
      <c r="BF116" s="545"/>
      <c r="BG116" s="545"/>
      <c r="BH116" s="545"/>
      <c r="BI116" s="545"/>
      <c r="BJ116" s="545"/>
      <c r="BK116" s="545"/>
      <c r="BL116" s="545"/>
      <c r="BM116" s="545"/>
      <c r="BN116" s="545"/>
      <c r="BO116" s="545"/>
      <c r="BP116" s="545"/>
      <c r="BQ116" s="545"/>
      <c r="BR116" s="545"/>
      <c r="BS116" s="545"/>
      <c r="BT116" s="545"/>
      <c r="BU116" s="545"/>
      <c r="BV116" s="546"/>
      <c r="BW116" s="546"/>
      <c r="BX116" s="546"/>
      <c r="BY116" s="546"/>
      <c r="BZ116" s="546"/>
      <c r="CA116" s="546"/>
      <c r="CB116" s="546"/>
      <c r="CC116" s="546"/>
      <c r="CD116" s="546"/>
      <c r="CE116" s="546"/>
    </row>
    <row r="117" spans="1:83" s="1796" customFormat="1" ht="15" customHeight="1">
      <c r="A117" s="544"/>
      <c r="B117"/>
      <c r="C117"/>
      <c r="D117" s="1970"/>
      <c r="E117" s="1972" t="s">
        <v>429</v>
      </c>
      <c r="F117" s="1973"/>
      <c r="G117" s="1974"/>
      <c r="H117" s="1975" t="str">
        <f>IF(A115="","",INDEX(DIFFERENTIATION_UNMERGE_SYSTEM,MATCH(A115,DIFFERENTIATION_ID_DIFF,0)))</f>
        <v/>
      </c>
      <c r="I117" s="1975"/>
      <c r="J117" s="1975"/>
      <c r="K117" s="1975"/>
      <c r="L117" s="1975"/>
      <c r="M117" s="1975"/>
      <c r="N117" s="1975"/>
      <c r="O117" s="1975"/>
      <c r="P117" s="1975"/>
      <c r="Q117" s="1975"/>
      <c r="R117" s="1975"/>
      <c r="S117" s="638"/>
      <c r="T117" s="635"/>
      <c r="U117" s="545"/>
      <c r="V117" s="545"/>
      <c r="W117" s="546"/>
      <c r="X117" s="546"/>
      <c r="Y117" s="546"/>
      <c r="Z117" s="546"/>
      <c r="AA117" s="547"/>
      <c r="AB117" s="548"/>
      <c r="AC117" s="1984"/>
      <c r="AD117" s="549"/>
      <c r="AE117" s="550"/>
      <c r="AF117" s="550"/>
      <c r="AG117" s="551"/>
      <c r="AH117" s="552"/>
      <c r="AI117" s="545"/>
      <c r="AJ117" s="545"/>
      <c r="AK117" s="545"/>
      <c r="AL117" s="545"/>
      <c r="AM117" s="545"/>
      <c r="AN117" s="545"/>
      <c r="AO117" s="545"/>
      <c r="AP117" s="545"/>
      <c r="AQ117" s="545"/>
      <c r="AR117" s="545"/>
      <c r="AS117" s="545"/>
      <c r="AT117" s="545"/>
      <c r="AU117" s="545"/>
      <c r="AV117" s="545"/>
      <c r="AW117" s="545"/>
      <c r="AX117" s="545"/>
      <c r="AY117" s="545"/>
      <c r="AZ117" s="545"/>
      <c r="BA117" s="545"/>
      <c r="BB117" s="545"/>
      <c r="BC117" s="545"/>
      <c r="BD117" s="545"/>
      <c r="BE117" s="545"/>
      <c r="BF117" s="545"/>
      <c r="BG117" s="545"/>
      <c r="BH117" s="545"/>
      <c r="BI117" s="545"/>
      <c r="BJ117" s="545"/>
      <c r="BK117" s="545"/>
      <c r="BL117" s="545"/>
      <c r="BM117" s="545"/>
      <c r="BN117" s="545"/>
      <c r="BO117" s="545"/>
      <c r="BP117" s="545"/>
      <c r="BQ117" s="545"/>
      <c r="BR117" s="545"/>
      <c r="BS117" s="545"/>
      <c r="BT117" s="545"/>
      <c r="BU117" s="545"/>
      <c r="BV117" s="546"/>
      <c r="BW117" s="546"/>
      <c r="BX117" s="546"/>
      <c r="BY117" s="546"/>
      <c r="BZ117" s="546"/>
      <c r="CA117" s="546"/>
      <c r="CB117" s="546"/>
      <c r="CC117" s="546"/>
      <c r="CD117" s="546"/>
      <c r="CE117" s="546"/>
    </row>
    <row r="118" spans="1:83" s="1796" customFormat="1" ht="24.75" customHeight="1">
      <c r="A118" s="1735"/>
      <c r="B118" s="1070"/>
      <c r="C118" s="342"/>
      <c r="D118" s="1970"/>
      <c r="E118" s="1990" t="s">
        <v>430</v>
      </c>
      <c r="F118" s="1990"/>
      <c r="G118" s="1990"/>
      <c r="H118" s="1990"/>
      <c r="I118" s="1990"/>
      <c r="J118" s="1990"/>
      <c r="K118" s="1990"/>
      <c r="L118" s="1990"/>
      <c r="M118" s="1990"/>
      <c r="N118" s="1990"/>
      <c r="O118" s="1990"/>
      <c r="P118" s="1990"/>
      <c r="Q118" s="483">
        <f>SUMIF(T119:T120,"i",Q119:Q120)</f>
        <v>0</v>
      </c>
      <c r="R118" s="933"/>
      <c r="S118" s="1727" t="s">
        <v>431</v>
      </c>
      <c r="T118" s="636" t="s">
        <v>432</v>
      </c>
      <c r="U118" s="1961">
        <v>1</v>
      </c>
      <c r="V118" s="1961" t="s">
        <v>433</v>
      </c>
      <c r="W118" s="1070"/>
      <c r="X118" s="1070"/>
      <c r="Y118" s="1070"/>
      <c r="Z118" s="1070"/>
      <c r="AA118" s="1561"/>
      <c r="AB118" s="1070"/>
      <c r="AC118" s="1984"/>
      <c r="AD118" s="549"/>
      <c r="AE118" s="1070"/>
      <c r="AF118" s="1070"/>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70"/>
      <c r="BW118" s="1070"/>
      <c r="BX118" s="1070"/>
      <c r="BY118" s="1070"/>
      <c r="BZ118" s="1070"/>
      <c r="CA118" s="1070"/>
      <c r="CB118" s="1070"/>
      <c r="CC118" s="1070"/>
      <c r="CD118" s="1070"/>
      <c r="CE118" s="1070"/>
    </row>
    <row r="119" spans="1:83" s="1796" customFormat="1" ht="11.25" hidden="1" customHeight="1">
      <c r="A119" s="1722"/>
      <c r="B119" s="1561"/>
      <c r="C119" s="1561"/>
      <c r="D119" s="1970"/>
      <c r="E119" s="555"/>
      <c r="F119" s="555">
        <v>0</v>
      </c>
      <c r="G119" s="555"/>
      <c r="H119" s="555"/>
      <c r="I119" s="555"/>
      <c r="J119" s="555"/>
      <c r="K119" s="555"/>
      <c r="L119" s="555"/>
      <c r="M119" s="555"/>
      <c r="N119" s="555"/>
      <c r="O119" s="555"/>
      <c r="P119" s="555"/>
      <c r="Q119" s="555"/>
      <c r="R119" s="555"/>
      <c r="S119" s="556"/>
      <c r="T119" s="637"/>
      <c r="U119" s="1961"/>
      <c r="V119" s="1961"/>
      <c r="W119" s="1561"/>
      <c r="X119" s="1561"/>
      <c r="Y119" s="1561"/>
      <c r="Z119" s="1561"/>
      <c r="AA119" s="1561"/>
      <c r="AB119" s="1070"/>
      <c r="AC119" s="1984"/>
      <c r="AD119" s="549"/>
      <c r="AE119" s="1070"/>
      <c r="AF119" s="1070"/>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96" customFormat="1" ht="11.25" customHeight="1">
      <c r="A120" s="1735"/>
      <c r="B120" s="1070"/>
      <c r="C120" s="342"/>
      <c r="D120" s="1970"/>
      <c r="E120" s="569" t="s">
        <v>18</v>
      </c>
      <c r="F120" s="1078" t="s">
        <v>18</v>
      </c>
      <c r="G120" s="1078" t="s">
        <v>434</v>
      </c>
      <c r="H120" s="571" t="s">
        <v>18</v>
      </c>
      <c r="I120" s="571"/>
      <c r="J120" s="571"/>
      <c r="K120" s="571"/>
      <c r="L120" s="571"/>
      <c r="M120" s="571"/>
      <c r="N120" s="571"/>
      <c r="O120" s="571"/>
      <c r="P120" s="571"/>
      <c r="Q120" s="571"/>
      <c r="R120" s="572"/>
      <c r="S120" s="573"/>
      <c r="T120" s="637"/>
      <c r="U120" s="1961"/>
      <c r="V120" s="1961"/>
      <c r="W120" s="1070"/>
      <c r="X120" s="1070"/>
      <c r="Y120" s="1070"/>
      <c r="Z120" s="1070"/>
      <c r="AA120" s="1561"/>
      <c r="AB120" s="1070"/>
      <c r="AC120" s="1984"/>
      <c r="AD120" s="549"/>
      <c r="AE120" s="1070"/>
      <c r="AF120" s="1070"/>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70"/>
      <c r="BW120" s="1070"/>
      <c r="BX120" s="1070"/>
      <c r="BY120" s="1070"/>
      <c r="BZ120" s="1070"/>
      <c r="CA120" s="1070"/>
      <c r="CB120" s="1070"/>
      <c r="CC120" s="1070"/>
      <c r="CD120" s="1070"/>
      <c r="CE120" s="1070"/>
    </row>
    <row r="121" spans="1:83" s="1244" customFormat="1" ht="5.25" hidden="1" customHeight="1">
      <c r="A121" s="1722"/>
      <c r="B121" s="1561"/>
      <c r="C121" s="1561"/>
      <c r="D121" s="1970"/>
      <c r="E121" s="955"/>
      <c r="F121" s="955"/>
      <c r="G121" s="955"/>
      <c r="H121" s="955"/>
      <c r="I121" s="955"/>
      <c r="J121" s="955"/>
      <c r="K121" s="955"/>
      <c r="L121" s="955"/>
      <c r="M121" s="955"/>
      <c r="N121" s="955"/>
      <c r="O121" s="955"/>
      <c r="P121" s="955"/>
      <c r="Q121" s="956"/>
      <c r="R121" s="957"/>
      <c r="S121" s="958"/>
      <c r="T121" s="636" t="s">
        <v>432</v>
      </c>
      <c r="U121" s="1961">
        <v>1</v>
      </c>
      <c r="V121" s="1961" t="s">
        <v>433</v>
      </c>
      <c r="W121" s="1561"/>
      <c r="X121" s="1561"/>
      <c r="Y121" s="1561"/>
      <c r="Z121" s="1561"/>
      <c r="AA121" s="1561"/>
      <c r="AB121" s="1561"/>
      <c r="AC121" s="953"/>
      <c r="AD121" s="954"/>
      <c r="AE121" s="1561"/>
      <c r="AF121" s="1561"/>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561"/>
      <c r="BW121" s="1561"/>
      <c r="BX121" s="1561"/>
      <c r="BY121" s="1561"/>
      <c r="BZ121" s="1561"/>
      <c r="CA121" s="1561"/>
      <c r="CB121" s="1561"/>
      <c r="CC121" s="1561"/>
      <c r="CD121" s="1561"/>
      <c r="CE121" s="1561"/>
    </row>
    <row r="122" spans="1:83" s="1244" customFormat="1" ht="5.25" hidden="1" customHeight="1">
      <c r="A122" s="1722"/>
      <c r="B122" s="1561"/>
      <c r="C122" s="1561"/>
      <c r="D122" s="1970"/>
      <c r="E122" s="555"/>
      <c r="F122" s="555"/>
      <c r="G122" s="555"/>
      <c r="H122" s="555"/>
      <c r="I122" s="555"/>
      <c r="J122" s="555"/>
      <c r="K122" s="555"/>
      <c r="L122" s="555"/>
      <c r="M122" s="555"/>
      <c r="N122" s="555"/>
      <c r="O122" s="555"/>
      <c r="P122" s="555"/>
      <c r="Q122" s="555"/>
      <c r="R122" s="555"/>
      <c r="S122" s="556"/>
      <c r="T122" s="637"/>
      <c r="U122" s="1961"/>
      <c r="V122" s="1961"/>
      <c r="W122" s="1561"/>
      <c r="X122" s="1561"/>
      <c r="Y122" s="1561"/>
      <c r="Z122" s="1561"/>
      <c r="AA122" s="1561"/>
      <c r="AB122" s="1561"/>
      <c r="AC122" s="953"/>
      <c r="AD122" s="954"/>
      <c r="AE122" s="1561"/>
      <c r="AF122" s="1561"/>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244" customFormat="1" ht="5.25" hidden="1" customHeight="1">
      <c r="A123" s="1722"/>
      <c r="B123" s="1561"/>
      <c r="C123" s="1561"/>
      <c r="D123" s="1971"/>
      <c r="E123" s="959"/>
      <c r="F123" s="960"/>
      <c r="G123" s="960"/>
      <c r="H123" s="961"/>
      <c r="I123" s="961"/>
      <c r="J123" s="961"/>
      <c r="K123" s="961"/>
      <c r="L123" s="961"/>
      <c r="M123" s="961"/>
      <c r="N123" s="961"/>
      <c r="O123" s="961"/>
      <c r="P123" s="961"/>
      <c r="Q123" s="961"/>
      <c r="R123" s="862"/>
      <c r="S123" s="962"/>
      <c r="T123" s="637"/>
      <c r="U123" s="1961"/>
      <c r="V123" s="1961"/>
      <c r="W123" s="1561"/>
      <c r="X123" s="1561"/>
      <c r="Y123" s="1561"/>
      <c r="Z123" s="1561"/>
      <c r="AA123" s="1561"/>
      <c r="AB123" s="1561"/>
      <c r="AC123" s="953"/>
      <c r="AD123" s="954"/>
      <c r="AE123" s="1561"/>
      <c r="AF123" s="1561"/>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561"/>
      <c r="BW123" s="1561"/>
      <c r="BX123" s="1561"/>
      <c r="BY123" s="1561"/>
      <c r="BZ123" s="1561"/>
      <c r="CA123" s="1561"/>
      <c r="CB123" s="1561"/>
      <c r="CC123" s="1561"/>
      <c r="CD123" s="1561"/>
      <c r="CE123" s="1561"/>
    </row>
    <row r="124" spans="1:83" ht="17.25" customHeight="1">
      <c r="D124" s="1764"/>
    </row>
    <row r="125" spans="1:83" s="1744" customFormat="1" ht="11.25" customHeight="1">
      <c r="A125" s="1744" t="s">
        <v>438</v>
      </c>
    </row>
    <row r="127" spans="1:83" s="1796" customFormat="1" ht="45" customHeight="1">
      <c r="A127" s="1735"/>
      <c r="B127" s="1070"/>
      <c r="C127" s="342"/>
      <c r="D127"/>
      <c r="E127" s="1985"/>
      <c r="F127" s="1851" t="s">
        <v>105</v>
      </c>
      <c r="G127" s="1988" t="s">
        <v>18</v>
      </c>
      <c r="H127" s="204"/>
      <c r="I127" s="557" t="s">
        <v>105</v>
      </c>
      <c r="J127" s="1736" t="s">
        <v>439</v>
      </c>
      <c r="K127" s="558" t="s">
        <v>440</v>
      </c>
      <c r="L127" s="1932" t="s">
        <v>440</v>
      </c>
      <c r="M127" s="1892"/>
      <c r="N127" s="558" t="s">
        <v>440</v>
      </c>
      <c r="O127" s="558" t="s">
        <v>440</v>
      </c>
      <c r="P127" s="558" t="s">
        <v>440</v>
      </c>
      <c r="Q127" s="559">
        <f>SUM(Q128:Q130)</f>
        <v>0</v>
      </c>
      <c r="R127" s="559">
        <f>IF(R124=0,0,(Q124/R124)*100)</f>
        <v>0</v>
      </c>
      <c r="S127" s="1904"/>
      <c r="T127" s="636" t="s">
        <v>432</v>
      </c>
      <c r="U127"/>
      <c r="V127"/>
      <c r="AC127"/>
    </row>
    <row r="128" spans="1:83" s="1796" customFormat="1" ht="11.25" customHeight="1">
      <c r="A128" s="1735"/>
      <c r="B128" s="1070"/>
      <c r="C128" s="342"/>
      <c r="D128"/>
      <c r="E128" s="1986"/>
      <c r="F128" s="1851"/>
      <c r="G128" s="1988"/>
      <c r="H128" s="1840"/>
      <c r="I128" s="1964" t="s">
        <v>441</v>
      </c>
      <c r="J128" s="1982"/>
      <c r="K128" s="1983"/>
      <c r="L128" s="560"/>
      <c r="M128" s="561" t="s">
        <v>105</v>
      </c>
      <c r="N128" s="1724"/>
      <c r="O128" s="562"/>
      <c r="P128" s="563"/>
      <c r="Q128" s="562"/>
      <c r="R128" s="564">
        <v>0</v>
      </c>
      <c r="S128" s="1904"/>
      <c r="T128" s="636"/>
      <c r="U128"/>
      <c r="V128"/>
      <c r="AC128"/>
    </row>
    <row r="129" spans="1:43" s="1796" customFormat="1" ht="11.25" customHeight="1">
      <c r="A129" s="1735"/>
      <c r="B129" s="1070"/>
      <c r="C129" s="342"/>
      <c r="D129"/>
      <c r="E129" s="1986"/>
      <c r="F129" s="1851"/>
      <c r="G129" s="1988"/>
      <c r="H129" s="1840"/>
      <c r="I129" s="1964"/>
      <c r="J129" s="1982"/>
      <c r="K129" s="1966"/>
      <c r="L129" s="565"/>
      <c r="M129" s="566"/>
      <c r="N129" s="567" t="s">
        <v>442</v>
      </c>
      <c r="O129" s="567"/>
      <c r="P129" s="567"/>
      <c r="Q129" s="567"/>
      <c r="R129" s="568"/>
      <c r="S129" s="1904"/>
      <c r="T129" s="636"/>
      <c r="U129"/>
      <c r="V129"/>
      <c r="AC129"/>
    </row>
    <row r="130" spans="1:43" s="1796" customFormat="1" ht="11.25" customHeight="1">
      <c r="A130" s="1735"/>
      <c r="B130" s="1070"/>
      <c r="C130" s="342"/>
      <c r="D130"/>
      <c r="E130" s="1987"/>
      <c r="F130" s="1851"/>
      <c r="G130" s="1989"/>
      <c r="H130" s="565" t="s">
        <v>18</v>
      </c>
      <c r="I130" s="566"/>
      <c r="J130" s="567" t="s">
        <v>443</v>
      </c>
      <c r="K130" s="567"/>
      <c r="L130" s="567"/>
      <c r="M130" s="567"/>
      <c r="N130" s="567"/>
      <c r="O130" s="567"/>
      <c r="P130" s="567"/>
      <c r="Q130" s="567"/>
      <c r="R130" s="568"/>
      <c r="S130" s="1904"/>
      <c r="T130" s="636"/>
      <c r="U130"/>
      <c r="V130"/>
      <c r="AC130"/>
    </row>
    <row r="135" spans="1:43" s="1796" customFormat="1" ht="11.25" customHeight="1">
      <c r="A135" s="1735"/>
      <c r="B135" s="1070"/>
      <c r="C135" s="342"/>
      <c r="D135"/>
      <c r="E135" s="1759"/>
      <c r="F135" s="1759"/>
      <c r="G135" s="1759"/>
      <c r="H135" s="1840"/>
      <c r="I135" s="1964" t="s">
        <v>441</v>
      </c>
      <c r="J135" s="1982"/>
      <c r="K135" s="1983"/>
      <c r="L135" s="560"/>
      <c r="M135" s="561" t="s">
        <v>105</v>
      </c>
      <c r="N135" s="1724"/>
      <c r="O135" s="562"/>
      <c r="P135" s="563"/>
      <c r="Q135" s="562"/>
      <c r="R135" s="564">
        <v>0</v>
      </c>
      <c r="S135"/>
      <c r="T135" s="636"/>
      <c r="U135"/>
      <c r="V135"/>
      <c r="AC135"/>
    </row>
    <row r="136" spans="1:43" s="1796" customFormat="1" ht="11.25" customHeight="1">
      <c r="A136" s="1735"/>
      <c r="B136" s="1070"/>
      <c r="C136" s="342"/>
      <c r="D136"/>
      <c r="E136" s="1759"/>
      <c r="F136" s="1759"/>
      <c r="G136" s="1759"/>
      <c r="H136" s="1840"/>
      <c r="I136" s="1964"/>
      <c r="J136" s="1982"/>
      <c r="K136" s="1966"/>
      <c r="L136" s="565"/>
      <c r="M136" s="566"/>
      <c r="N136" s="567" t="s">
        <v>442</v>
      </c>
      <c r="O136" s="567"/>
      <c r="P136" s="567"/>
      <c r="Q136" s="567"/>
      <c r="R136" s="568"/>
      <c r="S136"/>
      <c r="T136" s="636"/>
      <c r="U136"/>
      <c r="V136"/>
      <c r="AC136"/>
    </row>
    <row r="138" spans="1:43" s="1796" customFormat="1" ht="11.25" customHeight="1">
      <c r="A138" s="1735"/>
      <c r="B138" s="1070"/>
      <c r="C138" s="342"/>
      <c r="D138"/>
      <c r="E138" s="1765"/>
      <c r="F138"/>
      <c r="G138"/>
      <c r="H138" s="1766"/>
      <c r="I138" s="1759"/>
      <c r="J138" s="1760"/>
      <c r="K138" s="1760"/>
      <c r="L138" s="560"/>
      <c r="M138" s="561" t="s">
        <v>105</v>
      </c>
      <c r="N138" s="1724"/>
      <c r="O138" s="562"/>
      <c r="P138" s="563"/>
      <c r="Q138" s="562"/>
      <c r="R138" s="564">
        <v>0</v>
      </c>
      <c r="S138"/>
      <c r="T138" s="636"/>
      <c r="U138"/>
      <c r="V138"/>
      <c r="AC138"/>
    </row>
    <row r="140" spans="1:43" s="1744" customFormat="1" ht="17.25" customHeight="1">
      <c r="A140" s="1744" t="s">
        <v>444</v>
      </c>
    </row>
    <row r="141" spans="1:43" ht="17.25" customHeight="1">
      <c r="G141" s="1767"/>
      <c r="H141" s="1767"/>
      <c r="I141" s="1767"/>
      <c r="M141"/>
    </row>
    <row r="142" spans="1:43" s="1781" customFormat="1" ht="17.25" customHeight="1">
      <c r="A142" s="1768"/>
      <c r="C142" s="1770"/>
      <c r="D142" s="1962"/>
      <c r="E142" s="1862"/>
      <c r="F142" s="1864"/>
      <c r="G142" s="1967"/>
      <c r="H142" s="1962"/>
      <c r="I142" s="1962">
        <v>1</v>
      </c>
      <c r="J142" s="1993"/>
      <c r="K142" s="1907" t="s">
        <v>58</v>
      </c>
      <c r="L142" s="1851"/>
      <c r="M142" s="1851" t="s">
        <v>105</v>
      </c>
      <c r="N142" s="1991" t="str">
        <f>IF(Z142="","",INDEX(TERRITORY_MR_LIST,MATCH(Z142,TERRITORY_LIST_ID,0)))</f>
        <v/>
      </c>
      <c r="O142" s="1907" t="s">
        <v>58</v>
      </c>
      <c r="P142" s="1851"/>
      <c r="Q142" s="1851" t="s">
        <v>105</v>
      </c>
      <c r="R142" s="1966" t="s">
        <v>18</v>
      </c>
      <c r="S142" s="1850" t="s">
        <v>58</v>
      </c>
      <c r="T142" s="1740"/>
      <c r="U142" s="1740" t="s">
        <v>105</v>
      </c>
      <c r="V142" s="1771" t="s">
        <v>18</v>
      </c>
      <c r="W142" s="1730"/>
      <c r="Y142" s="1196"/>
      <c r="Z142" s="1196"/>
      <c r="AA142" s="1196"/>
      <c r="AB142" s="1196"/>
      <c r="AC142" s="1196"/>
      <c r="AD142" s="1196"/>
      <c r="AE142" s="1196"/>
      <c r="AF142" s="1196"/>
      <c r="AG142" s="1196"/>
      <c r="AH142" s="1196"/>
      <c r="AI142" s="1196"/>
      <c r="AJ142" s="1196"/>
      <c r="AK142" s="1196"/>
      <c r="AL142" s="1772"/>
      <c r="AM142" s="1772"/>
      <c r="AN142" s="1196"/>
      <c r="AO142" s="1196"/>
      <c r="AP142" s="1196"/>
      <c r="AQ142" s="1196"/>
    </row>
    <row r="143" spans="1:43" s="1781" customFormat="1" ht="17.25" customHeight="1">
      <c r="A143" s="1768"/>
      <c r="C143" s="1773"/>
      <c r="D143" s="1962"/>
      <c r="E143" s="1862"/>
      <c r="F143" s="1865"/>
      <c r="G143" s="1967"/>
      <c r="H143" s="1962"/>
      <c r="I143" s="1962"/>
      <c r="J143" s="1993"/>
      <c r="K143" s="1908"/>
      <c r="L143" s="1851"/>
      <c r="M143" s="1851"/>
      <c r="N143" s="1991"/>
      <c r="O143" s="1908"/>
      <c r="P143" s="1851"/>
      <c r="Q143" s="1851"/>
      <c r="R143" s="1966"/>
      <c r="S143" s="1850"/>
      <c r="T143" s="236"/>
      <c r="U143" s="237"/>
      <c r="V143" s="237" t="s">
        <v>445</v>
      </c>
      <c r="W143" s="238"/>
      <c r="Y143" s="1189"/>
      <c r="Z143" s="1189"/>
      <c r="AA143" s="1189"/>
      <c r="AB143" s="1189"/>
      <c r="AC143" s="1189"/>
      <c r="AD143" s="1189"/>
      <c r="AE143" s="1189"/>
      <c r="AF143" s="1189"/>
      <c r="AG143" s="1189"/>
      <c r="AH143" s="1189"/>
      <c r="AI143" s="1189"/>
      <c r="AJ143" s="1189"/>
      <c r="AK143" s="1189"/>
    </row>
    <row r="144" spans="1:43" s="1781" customFormat="1" ht="17.25" customHeight="1">
      <c r="A144" s="1768"/>
      <c r="C144" s="1773"/>
      <c r="D144" s="1861"/>
      <c r="E144" s="1863"/>
      <c r="F144" s="1865"/>
      <c r="G144" s="1968"/>
      <c r="H144" s="1861"/>
      <c r="I144" s="1861"/>
      <c r="J144" s="1994"/>
      <c r="K144" s="1908"/>
      <c r="L144" s="1861"/>
      <c r="M144" s="1861"/>
      <c r="N144" s="1992"/>
      <c r="O144" s="1855"/>
      <c r="P144" s="236"/>
      <c r="Q144" s="237"/>
      <c r="R144" s="237" t="s">
        <v>446</v>
      </c>
      <c r="S144" s="1774"/>
      <c r="T144" s="1774"/>
      <c r="U144" s="1774"/>
      <c r="V144" s="1774"/>
      <c r="W144" s="238"/>
      <c r="Y144" s="1189"/>
      <c r="Z144" s="1189"/>
      <c r="AA144" s="1189"/>
      <c r="AB144" s="1189"/>
      <c r="AC144" s="1189"/>
      <c r="AD144" s="1189"/>
      <c r="AE144" s="1189"/>
      <c r="AF144" s="1189"/>
      <c r="AG144" s="1189"/>
      <c r="AH144" s="1189"/>
      <c r="AI144" s="1189"/>
      <c r="AJ144" s="1189"/>
      <c r="AK144" s="1189"/>
    </row>
    <row r="145" spans="1:43" s="1781" customFormat="1" ht="17.25" customHeight="1">
      <c r="A145" s="1768"/>
      <c r="C145" s="1773"/>
      <c r="D145" s="1861"/>
      <c r="E145" s="1863"/>
      <c r="F145" s="1865"/>
      <c r="G145" s="1968"/>
      <c r="H145" s="1861"/>
      <c r="I145" s="1861"/>
      <c r="J145" s="1994"/>
      <c r="K145" s="1855"/>
      <c r="L145" s="236"/>
      <c r="M145" s="237"/>
      <c r="N145" s="237" t="s">
        <v>447</v>
      </c>
      <c r="O145" s="237"/>
      <c r="P145" s="237"/>
      <c r="Q145" s="237"/>
      <c r="R145" s="237"/>
      <c r="S145" s="1774"/>
      <c r="T145" s="1774"/>
      <c r="U145" s="1774"/>
      <c r="V145" s="1774"/>
      <c r="W145" s="238"/>
      <c r="Y145" s="1189"/>
      <c r="Z145" s="1189"/>
      <c r="AA145" s="1189"/>
      <c r="AB145" s="1189"/>
      <c r="AC145" s="1189"/>
      <c r="AD145" s="1189"/>
      <c r="AE145" s="1189"/>
      <c r="AF145" s="1189"/>
      <c r="AG145" s="1189"/>
      <c r="AH145" s="1189"/>
      <c r="AI145" s="1189"/>
      <c r="AJ145" s="1189"/>
      <c r="AK145" s="1189"/>
    </row>
    <row r="146" spans="1:43" s="1781" customFormat="1" ht="17.25" customHeight="1">
      <c r="A146" s="1768"/>
      <c r="C146" s="1773"/>
      <c r="D146" s="1861"/>
      <c r="E146" s="1863"/>
      <c r="F146" s="1866"/>
      <c r="G146" s="1968"/>
      <c r="H146" s="236"/>
      <c r="I146" s="237"/>
      <c r="J146" s="237" t="s">
        <v>448</v>
      </c>
      <c r="K146" s="237"/>
      <c r="L146" s="237"/>
      <c r="M146" s="237"/>
      <c r="N146" s="237"/>
      <c r="O146" s="237"/>
      <c r="P146" s="237"/>
      <c r="Q146" s="237"/>
      <c r="R146" s="237"/>
      <c r="S146" s="1774"/>
      <c r="T146" s="1774"/>
      <c r="U146" s="1774"/>
      <c r="V146" s="1774"/>
      <c r="W146" s="238"/>
      <c r="Y146" s="1189"/>
      <c r="Z146" s="1189"/>
      <c r="AA146" s="1189"/>
      <c r="AB146" s="1189"/>
      <c r="AC146" s="1189"/>
      <c r="AD146" s="1189"/>
      <c r="AE146" s="1189"/>
      <c r="AF146" s="1189"/>
      <c r="AG146" s="1189"/>
      <c r="AH146" s="1189"/>
      <c r="AI146" s="1189"/>
      <c r="AJ146" s="1189"/>
      <c r="AK146" s="1189"/>
    </row>
    <row r="147" spans="1:43" ht="17.25" customHeight="1">
      <c r="G147" s="1767"/>
      <c r="H147" s="1767"/>
      <c r="I147" s="1767"/>
      <c r="M147"/>
    </row>
    <row r="148" spans="1:43" s="1781" customFormat="1" ht="17.25" customHeight="1">
      <c r="A148" s="1768"/>
      <c r="C148" s="1770"/>
      <c r="D148" s="1759"/>
      <c r="E148" s="1775"/>
      <c r="F148" s="1712"/>
      <c r="G148" s="1776"/>
      <c r="H148" s="1962"/>
      <c r="I148" s="1962">
        <v>1</v>
      </c>
      <c r="J148" s="1993"/>
      <c r="K148" s="1907" t="s">
        <v>58</v>
      </c>
      <c r="L148" s="1851"/>
      <c r="M148" s="1851" t="s">
        <v>105</v>
      </c>
      <c r="N148" s="1991" t="str">
        <f>IF(Z148="","",INDEX(TERRITORY_MR_LIST,MATCH(Z148,TERRITORY_LIST_ID,0)))</f>
        <v/>
      </c>
      <c r="O148" s="1907" t="s">
        <v>58</v>
      </c>
      <c r="P148" s="1851"/>
      <c r="Q148" s="1851" t="s">
        <v>105</v>
      </c>
      <c r="R148" s="1966" t="s">
        <v>18</v>
      </c>
      <c r="S148" s="1850" t="s">
        <v>58</v>
      </c>
      <c r="T148" s="1740"/>
      <c r="U148" s="1740" t="s">
        <v>105</v>
      </c>
      <c r="V148" s="1771" t="s">
        <v>18</v>
      </c>
      <c r="W148" s="1730"/>
      <c r="Y148" s="1196"/>
      <c r="Z148" s="1196"/>
      <c r="AA148" s="1196"/>
      <c r="AB148" s="1196"/>
      <c r="AC148" s="1196"/>
      <c r="AD148" s="1196"/>
      <c r="AE148" s="1196"/>
      <c r="AF148" s="1196"/>
      <c r="AG148" s="1196"/>
      <c r="AH148" s="1196"/>
      <c r="AI148" s="1196"/>
      <c r="AJ148" s="1196"/>
      <c r="AK148" s="1196"/>
      <c r="AL148" s="1772"/>
      <c r="AM148" s="1772"/>
      <c r="AN148" s="1196"/>
      <c r="AO148" s="1196"/>
      <c r="AP148" s="1196"/>
      <c r="AQ148" s="1196"/>
    </row>
    <row r="149" spans="1:43" s="1781" customFormat="1" ht="17.25" customHeight="1">
      <c r="A149" s="1768"/>
      <c r="C149" s="1773"/>
      <c r="D149" s="1759"/>
      <c r="E149" s="1775"/>
      <c r="F149" s="1712"/>
      <c r="G149" s="1776"/>
      <c r="H149" s="1962"/>
      <c r="I149" s="1962"/>
      <c r="J149" s="1993"/>
      <c r="K149" s="1908"/>
      <c r="L149" s="1851"/>
      <c r="M149" s="1851"/>
      <c r="N149" s="1991"/>
      <c r="O149" s="1908"/>
      <c r="P149" s="1851"/>
      <c r="Q149" s="1851"/>
      <c r="R149" s="1966"/>
      <c r="S149" s="1850"/>
      <c r="T149" s="236"/>
      <c r="U149" s="237"/>
      <c r="V149" s="237" t="s">
        <v>445</v>
      </c>
      <c r="W149" s="238"/>
      <c r="Y149" s="1189"/>
      <c r="Z149" s="1189"/>
      <c r="AA149" s="1189"/>
      <c r="AB149" s="1189"/>
      <c r="AC149" s="1189"/>
      <c r="AD149" s="1189"/>
      <c r="AE149" s="1189"/>
      <c r="AF149" s="1189"/>
      <c r="AG149" s="1189"/>
      <c r="AH149" s="1189"/>
      <c r="AI149" s="1189"/>
      <c r="AJ149" s="1189"/>
      <c r="AK149" s="1189"/>
    </row>
    <row r="150" spans="1:43" s="1781" customFormat="1" ht="17.25" customHeight="1">
      <c r="A150" s="1768"/>
      <c r="C150" s="1773"/>
      <c r="D150" s="1759"/>
      <c r="E150" s="1775"/>
      <c r="F150" s="1712"/>
      <c r="G150" s="1776"/>
      <c r="H150" s="1861"/>
      <c r="I150" s="1861"/>
      <c r="J150" s="1994"/>
      <c r="K150" s="1908"/>
      <c r="L150" s="1861"/>
      <c r="M150" s="1861"/>
      <c r="N150" s="1992"/>
      <c r="O150" s="1855"/>
      <c r="P150" s="236"/>
      <c r="Q150" s="237"/>
      <c r="R150" s="237" t="s">
        <v>446</v>
      </c>
      <c r="S150" s="1774"/>
      <c r="T150" s="1774"/>
      <c r="U150" s="1774"/>
      <c r="V150" s="1774"/>
      <c r="W150" s="238"/>
      <c r="Y150" s="1189"/>
      <c r="Z150" s="1189"/>
      <c r="AA150" s="1189"/>
      <c r="AB150" s="1189"/>
      <c r="AC150" s="1189"/>
      <c r="AD150" s="1189"/>
      <c r="AE150" s="1189"/>
      <c r="AF150" s="1189"/>
      <c r="AG150" s="1189"/>
      <c r="AH150" s="1189"/>
      <c r="AI150" s="1189"/>
      <c r="AJ150" s="1189"/>
      <c r="AK150" s="1189"/>
    </row>
    <row r="151" spans="1:43" s="1781" customFormat="1" ht="17.25" customHeight="1">
      <c r="A151" s="1768"/>
      <c r="C151" s="1773"/>
      <c r="D151" s="1759"/>
      <c r="E151" s="1775"/>
      <c r="F151" s="1712"/>
      <c r="G151" s="1776"/>
      <c r="H151" s="1861"/>
      <c r="I151" s="1861"/>
      <c r="J151" s="1994"/>
      <c r="K151" s="1855"/>
      <c r="L151" s="236"/>
      <c r="M151" s="237"/>
      <c r="N151" s="237" t="s">
        <v>447</v>
      </c>
      <c r="O151" s="237"/>
      <c r="P151" s="237"/>
      <c r="Q151" s="237"/>
      <c r="R151" s="237"/>
      <c r="S151" s="1774"/>
      <c r="T151" s="1774"/>
      <c r="U151" s="1774"/>
      <c r="V151" s="1774"/>
      <c r="W151" s="238"/>
      <c r="Y151" s="1189"/>
      <c r="Z151" s="1189"/>
      <c r="AA151" s="1189"/>
      <c r="AB151" s="1189"/>
      <c r="AC151" s="1189"/>
      <c r="AD151" s="1189"/>
      <c r="AE151" s="1189"/>
      <c r="AF151" s="1189"/>
      <c r="AG151" s="1189"/>
      <c r="AH151" s="1189"/>
      <c r="AI151" s="1189"/>
      <c r="AJ151" s="1189"/>
      <c r="AK151" s="1189"/>
    </row>
    <row r="152" spans="1:43" ht="17.25" customHeight="1">
      <c r="G152" s="1767"/>
      <c r="H152" s="1767"/>
      <c r="I152" s="1767"/>
      <c r="M152"/>
    </row>
    <row r="153" spans="1:43" s="1781" customFormat="1" ht="17.25" customHeight="1">
      <c r="A153" s="1768"/>
      <c r="C153" s="1770"/>
      <c r="D153" s="1759"/>
      <c r="E153" s="1775"/>
      <c r="F153" s="1712"/>
      <c r="G153" s="1776"/>
      <c r="H153" s="1759"/>
      <c r="I153" s="1759"/>
      <c r="J153" s="1777"/>
      <c r="K153" s="1684"/>
      <c r="L153" s="1851"/>
      <c r="M153" s="1851" t="s">
        <v>105</v>
      </c>
      <c r="N153" s="1991" t="str">
        <f>IF(Z153="","",INDEX(TERRITORY_MR_LIST,MATCH(Z153,TERRITORY_LIST_ID,0)))</f>
        <v/>
      </c>
      <c r="O153" s="1907" t="s">
        <v>58</v>
      </c>
      <c r="P153" s="1851"/>
      <c r="Q153" s="1851" t="s">
        <v>105</v>
      </c>
      <c r="R153" s="1966" t="s">
        <v>18</v>
      </c>
      <c r="S153" s="1850" t="s">
        <v>58</v>
      </c>
      <c r="T153" s="1740"/>
      <c r="U153" s="1740" t="s">
        <v>105</v>
      </c>
      <c r="V153" s="1771" t="s">
        <v>18</v>
      </c>
      <c r="W153" s="1730"/>
      <c r="Y153" s="1196"/>
      <c r="Z153" s="1196"/>
      <c r="AA153" s="1196"/>
      <c r="AB153" s="1196"/>
      <c r="AC153" s="1196"/>
      <c r="AD153" s="1196"/>
      <c r="AE153" s="1196"/>
      <c r="AF153" s="1196"/>
      <c r="AG153" s="1196"/>
      <c r="AH153" s="1196"/>
      <c r="AI153" s="1196"/>
      <c r="AJ153" s="1196"/>
      <c r="AK153" s="1196"/>
      <c r="AL153" s="1772"/>
      <c r="AM153" s="1772"/>
      <c r="AN153" s="1196"/>
      <c r="AO153" s="1196"/>
      <c r="AP153" s="1196"/>
      <c r="AQ153" s="1196"/>
    </row>
    <row r="154" spans="1:43" s="1781" customFormat="1" ht="17.25" customHeight="1">
      <c r="A154" s="1768"/>
      <c r="C154" s="1773"/>
      <c r="D154" s="1759"/>
      <c r="E154" s="1775"/>
      <c r="F154" s="1712"/>
      <c r="G154" s="1776"/>
      <c r="H154" s="1759"/>
      <c r="I154" s="1759"/>
      <c r="J154" s="1777"/>
      <c r="K154" s="1684"/>
      <c r="L154" s="1851"/>
      <c r="M154" s="1851"/>
      <c r="N154" s="1991"/>
      <c r="O154" s="1908"/>
      <c r="P154" s="1851"/>
      <c r="Q154" s="1851"/>
      <c r="R154" s="1966"/>
      <c r="S154" s="1850"/>
      <c r="T154" s="236"/>
      <c r="U154" s="237"/>
      <c r="V154" s="237" t="s">
        <v>445</v>
      </c>
      <c r="W154" s="238"/>
      <c r="Y154" s="1189"/>
      <c r="Z154" s="1189"/>
      <c r="AA154" s="1189"/>
      <c r="AB154" s="1189"/>
      <c r="AC154" s="1189"/>
      <c r="AD154" s="1189"/>
      <c r="AE154" s="1189"/>
      <c r="AF154" s="1189"/>
      <c r="AG154" s="1189"/>
      <c r="AH154" s="1189"/>
      <c r="AI154" s="1189"/>
      <c r="AJ154" s="1189"/>
      <c r="AK154" s="1189"/>
    </row>
    <row r="155" spans="1:43" s="1781" customFormat="1" ht="17.25" customHeight="1">
      <c r="A155" s="1768"/>
      <c r="C155" s="1773"/>
      <c r="D155" s="1759"/>
      <c r="E155" s="1775"/>
      <c r="F155" s="1712"/>
      <c r="G155" s="1776"/>
      <c r="H155" s="1759"/>
      <c r="I155" s="1759"/>
      <c r="J155" s="1777"/>
      <c r="K155" s="1684"/>
      <c r="L155" s="1861"/>
      <c r="M155" s="1861"/>
      <c r="N155" s="1992"/>
      <c r="O155" s="1855"/>
      <c r="P155" s="236"/>
      <c r="Q155" s="237"/>
      <c r="R155" s="237" t="s">
        <v>446</v>
      </c>
      <c r="S155" s="1774"/>
      <c r="T155" s="1774"/>
      <c r="U155" s="1774"/>
      <c r="V155" s="1774"/>
      <c r="W155" s="238"/>
      <c r="Y155" s="1189"/>
      <c r="Z155" s="1189"/>
      <c r="AA155" s="1189"/>
      <c r="AB155" s="1189"/>
      <c r="AC155" s="1189"/>
      <c r="AD155" s="1189"/>
      <c r="AE155" s="1189"/>
      <c r="AF155" s="1189"/>
      <c r="AG155" s="1189"/>
      <c r="AH155" s="1189"/>
      <c r="AI155" s="1189"/>
      <c r="AJ155" s="1189"/>
      <c r="AK155" s="1189"/>
    </row>
    <row r="156" spans="1:43" ht="17.25" customHeight="1">
      <c r="G156" s="1767"/>
      <c r="H156" s="1767"/>
      <c r="I156" s="1767"/>
      <c r="M156"/>
    </row>
    <row r="157" spans="1:43" s="1781" customFormat="1" ht="17.25" customHeight="1">
      <c r="A157" s="1768"/>
      <c r="C157" s="1770"/>
      <c r="D157" s="1759"/>
      <c r="E157" s="1775"/>
      <c r="F157" s="1712"/>
      <c r="G157" s="1776"/>
      <c r="H157" s="1759"/>
      <c r="I157" s="1759"/>
      <c r="J157" s="1777"/>
      <c r="K157" s="1684"/>
      <c r="L157" s="1680"/>
      <c r="M157" s="1680"/>
      <c r="N157" s="1778"/>
      <c r="O157" s="1715"/>
      <c r="P157" s="1851"/>
      <c r="Q157" s="1851" t="s">
        <v>105</v>
      </c>
      <c r="R157" s="1966" t="s">
        <v>18</v>
      </c>
      <c r="S157" s="1850" t="s">
        <v>58</v>
      </c>
      <c r="T157" s="1740"/>
      <c r="U157" s="1740" t="s">
        <v>105</v>
      </c>
      <c r="V157" s="1771" t="s">
        <v>18</v>
      </c>
      <c r="W157" s="1730"/>
      <c r="Y157" s="1196"/>
      <c r="Z157" s="1196"/>
      <c r="AA157" s="1196"/>
      <c r="AB157" s="1196"/>
      <c r="AC157" s="1196"/>
      <c r="AD157" s="1196"/>
      <c r="AE157" s="1196"/>
      <c r="AF157" s="1196"/>
      <c r="AG157" s="1196"/>
      <c r="AH157" s="1196"/>
      <c r="AI157" s="1196"/>
      <c r="AJ157" s="1196"/>
      <c r="AK157" s="1196"/>
      <c r="AL157" s="1772"/>
      <c r="AM157" s="1772"/>
      <c r="AN157" s="1196"/>
      <c r="AO157" s="1196"/>
      <c r="AP157" s="1196"/>
      <c r="AQ157" s="1196"/>
    </row>
    <row r="158" spans="1:43" s="1781" customFormat="1" ht="17.25" customHeight="1">
      <c r="A158" s="1768"/>
      <c r="C158" s="1773"/>
      <c r="D158" s="1759"/>
      <c r="E158" s="1775"/>
      <c r="F158" s="1712"/>
      <c r="G158" s="1776"/>
      <c r="H158" s="1759"/>
      <c r="I158" s="1759"/>
      <c r="J158" s="1777"/>
      <c r="K158" s="1684"/>
      <c r="L158" s="1680"/>
      <c r="M158" s="1680"/>
      <c r="N158" s="1778"/>
      <c r="O158" s="1715"/>
      <c r="P158" s="1851"/>
      <c r="Q158" s="1851"/>
      <c r="R158" s="1966"/>
      <c r="S158" s="1850"/>
      <c r="T158" s="236"/>
      <c r="U158" s="237"/>
      <c r="V158" s="237" t="s">
        <v>445</v>
      </c>
      <c r="W158" s="238"/>
      <c r="Y158" s="1189"/>
      <c r="Z158" s="1189"/>
      <c r="AA158" s="1189"/>
      <c r="AB158" s="1189"/>
      <c r="AC158" s="1189"/>
      <c r="AD158" s="1189"/>
      <c r="AE158" s="1189"/>
      <c r="AF158" s="1189"/>
      <c r="AG158" s="1189"/>
      <c r="AH158" s="1189"/>
      <c r="AI158" s="1189"/>
      <c r="AJ158" s="1189"/>
      <c r="AK158" s="1189"/>
    </row>
    <row r="159" spans="1:43" ht="17.25" customHeight="1">
      <c r="G159" s="1767"/>
      <c r="H159" s="1767"/>
      <c r="I159" s="1767"/>
      <c r="M159"/>
    </row>
    <row r="160" spans="1:43" s="1781" customFormat="1" ht="17.25" customHeight="1">
      <c r="A160" s="1768"/>
      <c r="C160" s="1770"/>
      <c r="D160" s="1759"/>
      <c r="E160" s="1775"/>
      <c r="F160" s="1712"/>
      <c r="G160" s="1776"/>
      <c r="H160" s="1680"/>
      <c r="I160" s="1680"/>
      <c r="J160" s="1681"/>
      <c r="K160" s="1776"/>
      <c r="L160" s="1680"/>
      <c r="M160" s="1680"/>
      <c r="N160" s="1776"/>
      <c r="O160" s="1776"/>
      <c r="P160" s="1680"/>
      <c r="Q160" s="1680"/>
      <c r="R160" s="1682"/>
      <c r="S160" s="1776"/>
      <c r="T160" s="1740"/>
      <c r="U160" s="1740" t="s">
        <v>105</v>
      </c>
      <c r="V160" s="1771" t="s">
        <v>18</v>
      </c>
      <c r="W160" s="1730"/>
      <c r="Y160" s="1196"/>
      <c r="Z160" s="1196"/>
      <c r="AA160" s="1196"/>
      <c r="AB160" s="1196"/>
      <c r="AC160" s="1196"/>
      <c r="AD160" s="1196"/>
      <c r="AE160" s="1196"/>
      <c r="AF160" s="1196"/>
      <c r="AG160" s="1196"/>
      <c r="AH160" s="1196"/>
      <c r="AI160" s="1196"/>
      <c r="AJ160" s="1196"/>
      <c r="AK160" s="1196"/>
      <c r="AL160" s="1772"/>
      <c r="AM160" s="1772"/>
      <c r="AN160" s="1196"/>
      <c r="AO160" s="1196"/>
      <c r="AP160" s="1196"/>
      <c r="AQ160" s="1196"/>
    </row>
    <row r="162" spans="1:43" s="1744" customFormat="1" ht="17.25" customHeight="1">
      <c r="A162" s="1744" t="s">
        <v>449</v>
      </c>
    </row>
    <row r="163" spans="1:43" ht="17.25" customHeight="1">
      <c r="G163" s="1767"/>
      <c r="H163" s="1767"/>
      <c r="I163" s="1767"/>
      <c r="M163"/>
    </row>
    <row r="164" spans="1:43" s="1781" customFormat="1" ht="17.25" customHeight="1">
      <c r="A164" s="1768"/>
      <c r="C164" s="1770"/>
      <c r="D164" s="1962"/>
      <c r="E164" s="1862"/>
      <c r="F164" s="1864"/>
      <c r="G164" s="1967"/>
      <c r="H164" s="1962"/>
      <c r="I164" s="1962">
        <v>1</v>
      </c>
      <c r="J164" s="1993"/>
      <c r="K164" s="1907" t="s">
        <v>58</v>
      </c>
      <c r="L164" s="1851"/>
      <c r="M164" s="1851" t="s">
        <v>105</v>
      </c>
      <c r="N164" s="1991" t="str">
        <f>IF(Z164="","",INDEX(TERRITORY_MR_LIST,MATCH(Z164,TERRITORY_LIST_ID,0)))</f>
        <v/>
      </c>
      <c r="O164" s="1907" t="s">
        <v>58</v>
      </c>
      <c r="P164" s="1851"/>
      <c r="Q164" s="1851" t="s">
        <v>105</v>
      </c>
      <c r="R164" s="1966" t="s">
        <v>18</v>
      </c>
      <c r="S164" s="2028" t="s">
        <v>56</v>
      </c>
      <c r="T164" s="1731"/>
      <c r="U164" s="1731" t="s">
        <v>105</v>
      </c>
      <c r="V164" s="1359"/>
      <c r="W164" s="1993"/>
      <c r="Y164" s="1196"/>
      <c r="Z164" s="1196"/>
      <c r="AA164" s="1196"/>
      <c r="AB164" s="1196"/>
      <c r="AC164" s="1196"/>
      <c r="AD164" s="1196"/>
      <c r="AE164" s="1196"/>
      <c r="AF164" s="1196"/>
      <c r="AG164" s="1196"/>
      <c r="AH164" s="1196"/>
      <c r="AI164" s="1196"/>
      <c r="AJ164" s="1196"/>
      <c r="AK164" s="1196"/>
      <c r="AL164" s="1772"/>
      <c r="AM164" s="1772"/>
      <c r="AN164" s="1196"/>
      <c r="AO164" s="1196"/>
      <c r="AP164" s="1196"/>
      <c r="AQ164" s="1196"/>
    </row>
    <row r="165" spans="1:43" s="1781" customFormat="1" ht="17.25" customHeight="1">
      <c r="A165" s="1768"/>
      <c r="C165" s="1773"/>
      <c r="D165" s="1962"/>
      <c r="E165" s="1862"/>
      <c r="F165" s="1865"/>
      <c r="G165" s="1967"/>
      <c r="H165" s="1962"/>
      <c r="I165" s="1962"/>
      <c r="J165" s="1993"/>
      <c r="K165" s="1908"/>
      <c r="L165" s="1851"/>
      <c r="M165" s="1851"/>
      <c r="N165" s="1991"/>
      <c r="O165" s="1908"/>
      <c r="P165" s="1851"/>
      <c r="Q165" s="1851"/>
      <c r="R165" s="1966"/>
      <c r="S165" s="2028"/>
      <c r="T165" s="1360"/>
      <c r="U165" s="1361"/>
      <c r="V165" s="1361"/>
      <c r="W165" s="1993"/>
      <c r="Y165" s="1189"/>
      <c r="Z165" s="1189"/>
      <c r="AA165" s="1189"/>
      <c r="AB165" s="1189"/>
      <c r="AC165" s="1189"/>
      <c r="AD165" s="1189"/>
      <c r="AE165" s="1189"/>
      <c r="AF165" s="1189"/>
      <c r="AG165" s="1189"/>
      <c r="AH165" s="1189"/>
      <c r="AI165" s="1189"/>
      <c r="AJ165" s="1189"/>
      <c r="AK165" s="1189"/>
    </row>
    <row r="166" spans="1:43" s="1781" customFormat="1" ht="17.25" customHeight="1">
      <c r="A166" s="1768"/>
      <c r="C166" s="1773"/>
      <c r="D166" s="1861"/>
      <c r="E166" s="1863"/>
      <c r="F166" s="1865"/>
      <c r="G166" s="1968"/>
      <c r="H166" s="1861"/>
      <c r="I166" s="1861"/>
      <c r="J166" s="1994"/>
      <c r="K166" s="1908"/>
      <c r="L166" s="1861"/>
      <c r="M166" s="1861"/>
      <c r="N166" s="1992"/>
      <c r="O166" s="1855"/>
      <c r="P166" s="236"/>
      <c r="Q166" s="237"/>
      <c r="R166" s="237" t="s">
        <v>446</v>
      </c>
      <c r="S166" s="1774"/>
      <c r="T166" s="1774"/>
      <c r="U166" s="1774"/>
      <c r="V166" s="1774"/>
      <c r="W166" s="1358"/>
      <c r="Y166" s="1189"/>
      <c r="Z166" s="1189"/>
      <c r="AA166" s="1189"/>
      <c r="AB166" s="1189"/>
      <c r="AC166" s="1189"/>
      <c r="AD166" s="1189"/>
      <c r="AE166" s="1189"/>
      <c r="AF166" s="1189"/>
      <c r="AG166" s="1189"/>
      <c r="AH166" s="1189"/>
      <c r="AI166" s="1189"/>
      <c r="AJ166" s="1189"/>
      <c r="AK166" s="1189"/>
    </row>
    <row r="167" spans="1:43" s="1781" customFormat="1" ht="17.25" customHeight="1">
      <c r="A167" s="1768"/>
      <c r="C167" s="1773"/>
      <c r="D167" s="1861"/>
      <c r="E167" s="1863"/>
      <c r="F167" s="1865"/>
      <c r="G167" s="1968"/>
      <c r="H167" s="1861"/>
      <c r="I167" s="1861"/>
      <c r="J167" s="1994"/>
      <c r="K167" s="1855"/>
      <c r="L167" s="236"/>
      <c r="M167" s="237"/>
      <c r="N167" s="237" t="s">
        <v>447</v>
      </c>
      <c r="O167" s="237"/>
      <c r="P167" s="237"/>
      <c r="Q167" s="237"/>
      <c r="R167" s="237"/>
      <c r="S167" s="1774"/>
      <c r="T167" s="1774"/>
      <c r="U167" s="1774"/>
      <c r="V167" s="1774"/>
      <c r="W167" s="238"/>
      <c r="Y167" s="1189"/>
      <c r="Z167" s="1189"/>
      <c r="AA167" s="1189"/>
      <c r="AB167" s="1189"/>
      <c r="AC167" s="1189"/>
      <c r="AD167" s="1189"/>
      <c r="AE167" s="1189"/>
      <c r="AF167" s="1189"/>
      <c r="AG167" s="1189"/>
      <c r="AH167" s="1189"/>
      <c r="AI167" s="1189"/>
      <c r="AJ167" s="1189"/>
      <c r="AK167" s="1189"/>
    </row>
    <row r="168" spans="1:43" s="1781" customFormat="1" ht="17.25" customHeight="1">
      <c r="A168" s="1768"/>
      <c r="C168" s="1773"/>
      <c r="D168" s="1861"/>
      <c r="E168" s="1863"/>
      <c r="F168" s="1866"/>
      <c r="G168" s="1968"/>
      <c r="H168" s="236"/>
      <c r="I168" s="237"/>
      <c r="J168" s="237" t="s">
        <v>448</v>
      </c>
      <c r="K168" s="237"/>
      <c r="L168" s="237"/>
      <c r="M168" s="237"/>
      <c r="N168" s="237"/>
      <c r="O168" s="237"/>
      <c r="P168" s="237"/>
      <c r="Q168" s="237"/>
      <c r="R168" s="237"/>
      <c r="S168" s="1774"/>
      <c r="T168" s="1774"/>
      <c r="U168" s="1774"/>
      <c r="V168" s="1774"/>
      <c r="W168" s="238"/>
      <c r="Y168" s="1189"/>
      <c r="Z168" s="1189"/>
      <c r="AA168" s="1189"/>
      <c r="AB168" s="1189"/>
      <c r="AC168" s="1189"/>
      <c r="AD168" s="1189"/>
      <c r="AE168" s="1189"/>
      <c r="AF168" s="1189"/>
      <c r="AG168" s="1189"/>
      <c r="AH168" s="1189"/>
      <c r="AI168" s="1189"/>
      <c r="AJ168" s="1189"/>
      <c r="AK168" s="1189"/>
    </row>
    <row r="169" spans="1:43" ht="17.25" customHeight="1">
      <c r="A169"/>
    </row>
    <row r="170" spans="1:43" s="1781" customFormat="1" ht="17.25" customHeight="1">
      <c r="A170" s="1768"/>
      <c r="C170" s="1770"/>
      <c r="D170" s="1759"/>
      <c r="E170" s="1775"/>
      <c r="F170" s="1712"/>
      <c r="G170" s="1776"/>
      <c r="H170" s="1962"/>
      <c r="I170" s="1962">
        <v>1</v>
      </c>
      <c r="J170" s="1993"/>
      <c r="K170" s="1907" t="s">
        <v>58</v>
      </c>
      <c r="L170" s="1851"/>
      <c r="M170" s="1851" t="s">
        <v>105</v>
      </c>
      <c r="N170" s="1991" t="str">
        <f>IF(Z170="","",INDEX(TERRITORY_MR_LIST,MATCH(Z170,TERRITORY_LIST_ID,0)))</f>
        <v/>
      </c>
      <c r="O170" s="1907" t="s">
        <v>58</v>
      </c>
      <c r="P170" s="1851"/>
      <c r="Q170" s="1851" t="s">
        <v>105</v>
      </c>
      <c r="R170" s="1966" t="s">
        <v>18</v>
      </c>
      <c r="S170" s="2028" t="s">
        <v>56</v>
      </c>
      <c r="T170" s="1731"/>
      <c r="U170" s="1731" t="s">
        <v>105</v>
      </c>
      <c r="V170" s="1359"/>
      <c r="W170" s="1993"/>
      <c r="Y170" s="1196"/>
      <c r="Z170" s="1196"/>
      <c r="AA170" s="1196"/>
      <c r="AB170" s="1196"/>
      <c r="AC170" s="1196"/>
      <c r="AD170" s="1196"/>
      <c r="AE170" s="1196"/>
      <c r="AF170" s="1196"/>
      <c r="AG170" s="1196"/>
      <c r="AH170" s="1196"/>
      <c r="AI170" s="1196"/>
      <c r="AJ170" s="1196"/>
      <c r="AK170" s="1196"/>
      <c r="AL170" s="1772"/>
      <c r="AM170" s="1772"/>
      <c r="AN170" s="1196"/>
      <c r="AO170" s="1196"/>
      <c r="AP170" s="1196"/>
      <c r="AQ170" s="1196"/>
    </row>
    <row r="171" spans="1:43" s="1781" customFormat="1" ht="17.25" customHeight="1">
      <c r="A171" s="1768"/>
      <c r="C171" s="1773"/>
      <c r="D171" s="1759"/>
      <c r="E171" s="1775"/>
      <c r="F171" s="1712"/>
      <c r="G171" s="1776"/>
      <c r="H171" s="1962"/>
      <c r="I171" s="1962"/>
      <c r="J171" s="1993"/>
      <c r="K171" s="1908"/>
      <c r="L171" s="1851"/>
      <c r="M171" s="1851"/>
      <c r="N171" s="1991"/>
      <c r="O171" s="1908"/>
      <c r="P171" s="1851"/>
      <c r="Q171" s="1851"/>
      <c r="R171" s="1966"/>
      <c r="S171" s="2028"/>
      <c r="T171" s="1360"/>
      <c r="U171" s="1361"/>
      <c r="V171" s="1361"/>
      <c r="W171" s="1993"/>
      <c r="Y171" s="1189"/>
      <c r="Z171" s="1189"/>
      <c r="AA171" s="1189"/>
      <c r="AB171" s="1189"/>
      <c r="AC171" s="1189"/>
      <c r="AD171" s="1189"/>
      <c r="AE171" s="1189"/>
      <c r="AF171" s="1189"/>
      <c r="AG171" s="1189"/>
      <c r="AH171" s="1189"/>
      <c r="AI171" s="1189"/>
      <c r="AJ171" s="1189"/>
      <c r="AK171" s="1189"/>
    </row>
    <row r="172" spans="1:43" s="1781" customFormat="1" ht="17.25" customHeight="1">
      <c r="A172" s="1768"/>
      <c r="C172" s="1773"/>
      <c r="D172" s="1759"/>
      <c r="E172" s="1775"/>
      <c r="F172" s="1712"/>
      <c r="G172" s="1776"/>
      <c r="H172" s="1861"/>
      <c r="I172" s="1861"/>
      <c r="J172" s="1994"/>
      <c r="K172" s="1908"/>
      <c r="L172" s="1861"/>
      <c r="M172" s="1861"/>
      <c r="N172" s="1992"/>
      <c r="O172" s="1855"/>
      <c r="P172" s="236"/>
      <c r="Q172" s="237"/>
      <c r="R172" s="237" t="s">
        <v>446</v>
      </c>
      <c r="S172" s="1774"/>
      <c r="T172" s="1774"/>
      <c r="U172" s="1774"/>
      <c r="V172" s="1774"/>
      <c r="W172" s="1358"/>
      <c r="Y172" s="1189"/>
      <c r="Z172" s="1189"/>
      <c r="AA172" s="1189"/>
      <c r="AB172" s="1189"/>
      <c r="AC172" s="1189"/>
      <c r="AD172" s="1189"/>
      <c r="AE172" s="1189"/>
      <c r="AF172" s="1189"/>
      <c r="AG172" s="1189"/>
      <c r="AH172" s="1189"/>
      <c r="AI172" s="1189"/>
      <c r="AJ172" s="1189"/>
      <c r="AK172" s="1189"/>
    </row>
    <row r="173" spans="1:43" s="1781" customFormat="1" ht="17.25" customHeight="1">
      <c r="A173" s="1768"/>
      <c r="C173" s="1773"/>
      <c r="D173" s="1759"/>
      <c r="E173" s="1775"/>
      <c r="F173" s="1712"/>
      <c r="G173" s="1776"/>
      <c r="H173" s="1861"/>
      <c r="I173" s="1861"/>
      <c r="J173" s="1994"/>
      <c r="K173" s="1855"/>
      <c r="L173" s="236"/>
      <c r="M173" s="237"/>
      <c r="N173" s="237" t="s">
        <v>447</v>
      </c>
      <c r="O173" s="237"/>
      <c r="P173" s="237"/>
      <c r="Q173" s="237"/>
      <c r="R173" s="237"/>
      <c r="S173" s="1774"/>
      <c r="T173" s="1774"/>
      <c r="U173" s="1774"/>
      <c r="V173" s="1774"/>
      <c r="W173" s="238"/>
      <c r="Y173" s="1189"/>
      <c r="Z173" s="1189"/>
      <c r="AA173" s="1189"/>
      <c r="AB173" s="1189"/>
      <c r="AC173" s="1189"/>
      <c r="AD173" s="1189"/>
      <c r="AE173" s="1189"/>
      <c r="AF173" s="1189"/>
      <c r="AG173" s="1189"/>
      <c r="AH173" s="1189"/>
      <c r="AI173" s="1189"/>
      <c r="AJ173" s="1189"/>
      <c r="AK173" s="1189"/>
    </row>
    <row r="174" spans="1:43" ht="17.25" customHeight="1">
      <c r="A174"/>
    </row>
    <row r="175" spans="1:43" s="1781" customFormat="1" ht="17.25" customHeight="1">
      <c r="A175" s="1768"/>
      <c r="C175" s="1770"/>
      <c r="D175" s="1759"/>
      <c r="E175" s="1775"/>
      <c r="F175" s="1712"/>
      <c r="G175" s="1776"/>
      <c r="H175" s="1759"/>
      <c r="I175" s="1759"/>
      <c r="J175" s="1779"/>
      <c r="K175" s="1776"/>
      <c r="L175" s="1851"/>
      <c r="M175" s="1851" t="s">
        <v>105</v>
      </c>
      <c r="N175" s="1991" t="str">
        <f>IF(Z175="","",INDEX(TERRITORY_MR_LIST,MATCH(Z175,TERRITORY_LIST_ID,0)))</f>
        <v/>
      </c>
      <c r="O175" s="1907" t="s">
        <v>58</v>
      </c>
      <c r="P175" s="1851"/>
      <c r="Q175" s="1851" t="s">
        <v>105</v>
      </c>
      <c r="R175" s="1966" t="s">
        <v>18</v>
      </c>
      <c r="S175" s="2028" t="s">
        <v>56</v>
      </c>
      <c r="T175" s="1731"/>
      <c r="U175" s="1731" t="s">
        <v>105</v>
      </c>
      <c r="V175" s="1359"/>
      <c r="W175" s="1993"/>
      <c r="Y175" s="1196"/>
      <c r="Z175" s="1196"/>
      <c r="AA175" s="1196"/>
      <c r="AB175" s="1196"/>
      <c r="AC175" s="1196"/>
      <c r="AD175" s="1196"/>
      <c r="AE175" s="1196"/>
      <c r="AF175" s="1196"/>
      <c r="AG175" s="1196"/>
      <c r="AH175" s="1196"/>
      <c r="AI175" s="1196"/>
      <c r="AJ175" s="1196"/>
      <c r="AK175" s="1196"/>
      <c r="AL175" s="1772"/>
      <c r="AM175" s="1772"/>
      <c r="AN175" s="1196"/>
      <c r="AO175" s="1196"/>
      <c r="AP175" s="1196"/>
      <c r="AQ175" s="1196"/>
    </row>
    <row r="176" spans="1:43" s="1781" customFormat="1" ht="17.25" customHeight="1">
      <c r="A176" s="1768"/>
      <c r="C176" s="1773"/>
      <c r="D176" s="1759"/>
      <c r="E176" s="1775"/>
      <c r="F176" s="1712"/>
      <c r="G176" s="1776"/>
      <c r="H176" s="1759"/>
      <c r="I176" s="1759"/>
      <c r="J176" s="1779"/>
      <c r="K176" s="1776"/>
      <c r="L176" s="1851"/>
      <c r="M176" s="1851"/>
      <c r="N176" s="1991"/>
      <c r="O176" s="1908"/>
      <c r="P176" s="1851"/>
      <c r="Q176" s="1851"/>
      <c r="R176" s="1966"/>
      <c r="S176" s="2028"/>
      <c r="T176" s="1360"/>
      <c r="U176" s="1361"/>
      <c r="V176" s="1361"/>
      <c r="W176" s="1993"/>
      <c r="Y176" s="1189"/>
      <c r="Z176" s="1189"/>
      <c r="AA176" s="1189"/>
      <c r="AB176" s="1189"/>
      <c r="AC176" s="1189"/>
      <c r="AD176" s="1189"/>
      <c r="AE176" s="1189"/>
      <c r="AF176" s="1189"/>
      <c r="AG176" s="1189"/>
      <c r="AH176" s="1189"/>
      <c r="AI176" s="1189"/>
      <c r="AJ176" s="1189"/>
      <c r="AK176" s="1189"/>
    </row>
    <row r="177" spans="1:43" s="1781" customFormat="1" ht="17.25" customHeight="1">
      <c r="A177" s="1768"/>
      <c r="C177" s="1773"/>
      <c r="D177" s="1759"/>
      <c r="E177" s="1775"/>
      <c r="F177" s="1712"/>
      <c r="G177" s="1776"/>
      <c r="H177" s="1759"/>
      <c r="I177" s="1759"/>
      <c r="J177" s="1779"/>
      <c r="K177" s="1776"/>
      <c r="L177" s="1861"/>
      <c r="M177" s="1861"/>
      <c r="N177" s="1992"/>
      <c r="O177" s="1855"/>
      <c r="P177" s="236"/>
      <c r="Q177" s="237"/>
      <c r="R177" s="237" t="s">
        <v>446</v>
      </c>
      <c r="S177" s="1774"/>
      <c r="T177" s="1774"/>
      <c r="U177" s="1774"/>
      <c r="V177" s="1774"/>
      <c r="W177" s="1358"/>
      <c r="Y177" s="1189"/>
      <c r="Z177" s="1189"/>
      <c r="AA177" s="1189"/>
      <c r="AB177" s="1189"/>
      <c r="AC177" s="1189"/>
      <c r="AD177" s="1189"/>
      <c r="AE177" s="1189"/>
      <c r="AF177" s="1189"/>
      <c r="AG177" s="1189"/>
      <c r="AH177" s="1189"/>
      <c r="AI177" s="1189"/>
      <c r="AJ177" s="1189"/>
      <c r="AK177" s="1189"/>
    </row>
    <row r="178" spans="1:43" ht="17.25" customHeight="1">
      <c r="A178"/>
    </row>
    <row r="179" spans="1:43" s="1781" customFormat="1" ht="17.25" customHeight="1">
      <c r="A179" s="1768"/>
      <c r="C179" s="1770"/>
      <c r="D179" s="1759"/>
      <c r="E179" s="1775"/>
      <c r="F179" s="1712"/>
      <c r="G179" s="1776"/>
      <c r="H179" s="1759"/>
      <c r="I179" s="1759"/>
      <c r="J179" s="1779"/>
      <c r="K179" s="1776"/>
      <c r="L179" s="1759"/>
      <c r="M179" s="1759"/>
      <c r="N179" s="1778"/>
      <c r="O179" s="1715"/>
      <c r="P179" s="1851"/>
      <c r="Q179" s="1851" t="s">
        <v>105</v>
      </c>
      <c r="R179" s="1966" t="s">
        <v>18</v>
      </c>
      <c r="S179" s="2028" t="s">
        <v>56</v>
      </c>
      <c r="T179" s="1731"/>
      <c r="U179" s="1731" t="s">
        <v>105</v>
      </c>
      <c r="V179" s="1359"/>
      <c r="W179" s="1993"/>
      <c r="Y179" s="1196"/>
      <c r="Z179" s="1196"/>
      <c r="AA179" s="1196"/>
      <c r="AB179" s="1196"/>
      <c r="AC179" s="1196"/>
      <c r="AD179" s="1196"/>
      <c r="AE179" s="1196"/>
      <c r="AF179" s="1196"/>
      <c r="AG179" s="1196"/>
      <c r="AH179" s="1196"/>
      <c r="AI179" s="1196"/>
      <c r="AJ179" s="1196"/>
      <c r="AK179" s="1196"/>
      <c r="AL179" s="1772"/>
      <c r="AM179" s="1772"/>
      <c r="AN179" s="1196"/>
      <c r="AO179" s="1196"/>
      <c r="AP179" s="1196"/>
      <c r="AQ179" s="1196"/>
    </row>
    <row r="180" spans="1:43" s="1781" customFormat="1" ht="17.25" customHeight="1">
      <c r="A180" s="1768"/>
      <c r="C180" s="1773"/>
      <c r="D180" s="1759"/>
      <c r="E180" s="1775"/>
      <c r="F180" s="1712"/>
      <c r="G180" s="1776"/>
      <c r="H180" s="1759"/>
      <c r="I180" s="1759"/>
      <c r="J180" s="1779"/>
      <c r="K180" s="1776"/>
      <c r="L180" s="1759"/>
      <c r="M180" s="1759"/>
      <c r="N180" s="1778"/>
      <c r="O180" s="1715"/>
      <c r="P180" s="1851"/>
      <c r="Q180" s="1851"/>
      <c r="R180" s="1966"/>
      <c r="S180" s="2028"/>
      <c r="T180" s="1360"/>
      <c r="U180" s="1361"/>
      <c r="V180" s="1361"/>
      <c r="W180" s="1993"/>
      <c r="Y180" s="1189"/>
      <c r="Z180" s="1189"/>
      <c r="AA180" s="1189"/>
      <c r="AB180" s="1189"/>
      <c r="AC180" s="1189"/>
      <c r="AD180" s="1189"/>
      <c r="AE180" s="1189"/>
      <c r="AF180" s="1189"/>
      <c r="AG180" s="1189"/>
      <c r="AH180" s="1189"/>
      <c r="AI180" s="1189"/>
      <c r="AJ180" s="1189"/>
      <c r="AK180" s="1189"/>
    </row>
    <row r="181" spans="1:43" ht="17.25" customHeight="1">
      <c r="A181"/>
    </row>
    <row r="182" spans="1:43" ht="16.5" customHeight="1">
      <c r="A182" s="1768"/>
      <c r="B182" s="1769"/>
      <c r="C182" s="1773"/>
      <c r="D182" s="1962"/>
      <c r="E182" s="1904"/>
      <c r="F182" s="1904"/>
      <c r="G182" s="1840"/>
      <c r="H182" s="1867"/>
      <c r="I182" s="1869"/>
      <c r="J182" s="1871"/>
      <c r="K182" s="1858"/>
      <c r="L182" s="1858"/>
      <c r="M182" s="1858"/>
      <c r="N182" s="1874"/>
      <c r="O182" s="1858"/>
      <c r="P182" s="1858"/>
      <c r="Q182" s="1858"/>
      <c r="R182" s="1877"/>
      <c r="S182" s="1858"/>
      <c r="T182" s="1711"/>
      <c r="U182" s="1711"/>
      <c r="V182" s="1780"/>
      <c r="W182" s="1225"/>
    </row>
    <row r="183" spans="1:43" ht="16.5" customHeight="1">
      <c r="A183" s="1768"/>
      <c r="B183" s="1769"/>
      <c r="C183" s="1773"/>
      <c r="D183" s="1962"/>
      <c r="E183" s="1904"/>
      <c r="F183" s="1904"/>
      <c r="G183" s="1840"/>
      <c r="H183" s="1868"/>
      <c r="I183" s="1870"/>
      <c r="J183" s="1872"/>
      <c r="K183" s="1859"/>
      <c r="L183" s="1859"/>
      <c r="M183" s="1859"/>
      <c r="N183" s="1875"/>
      <c r="O183" s="1859"/>
      <c r="P183" s="1859"/>
      <c r="Q183" s="1859"/>
      <c r="R183" s="1876"/>
      <c r="S183" s="1859"/>
      <c r="T183" s="1226"/>
      <c r="U183" s="1226"/>
      <c r="V183" s="1226"/>
      <c r="W183" s="1227"/>
    </row>
    <row r="184" spans="1:43" ht="17.25" customHeight="1">
      <c r="A184" s="1768"/>
      <c r="B184" s="1769"/>
      <c r="C184" s="1773"/>
      <c r="D184" s="1962"/>
      <c r="E184" s="1904"/>
      <c r="F184" s="1904"/>
      <c r="G184" s="1840"/>
      <c r="H184" s="1868"/>
      <c r="I184" s="1870"/>
      <c r="J184" s="1873"/>
      <c r="K184" s="1859"/>
      <c r="L184" s="1859"/>
      <c r="M184" s="1859"/>
      <c r="N184" s="1876"/>
      <c r="O184" s="1859"/>
      <c r="P184" s="1714"/>
      <c r="Q184" s="1226"/>
      <c r="R184" s="1226"/>
      <c r="S184" s="1781"/>
      <c r="T184" s="1781"/>
      <c r="U184" s="1781"/>
      <c r="V184" s="1781"/>
      <c r="W184" s="1227"/>
    </row>
    <row r="185" spans="1:43" ht="17.25" customHeight="1">
      <c r="A185" s="1768"/>
      <c r="B185" s="1769"/>
      <c r="C185" s="1773"/>
      <c r="D185" s="1962"/>
      <c r="E185" s="1904"/>
      <c r="F185" s="1904"/>
      <c r="G185" s="1840"/>
      <c r="H185" s="1868"/>
      <c r="I185" s="1870"/>
      <c r="J185" s="1873"/>
      <c r="K185" s="1859"/>
      <c r="L185" s="1226"/>
      <c r="M185" s="1226"/>
      <c r="N185" s="1226"/>
      <c r="O185" s="1226"/>
      <c r="P185" s="1226"/>
      <c r="Q185" s="1226"/>
      <c r="R185" s="1226"/>
      <c r="S185" s="1781"/>
      <c r="T185" s="1781"/>
      <c r="U185" s="1781"/>
      <c r="V185" s="1781"/>
      <c r="W185" s="1227"/>
    </row>
    <row r="186" spans="1:43" ht="17.25" customHeight="1">
      <c r="A186" s="1768"/>
      <c r="B186" s="1769"/>
      <c r="C186" s="1773"/>
      <c r="D186" s="1962"/>
      <c r="E186" s="1904"/>
      <c r="F186" s="1904"/>
      <c r="G186" s="1840"/>
      <c r="H186" s="1228"/>
      <c r="I186" s="1229"/>
      <c r="J186" s="1229"/>
      <c r="K186" s="1229"/>
      <c r="L186" s="1229"/>
      <c r="M186" s="1229"/>
      <c r="N186" s="1229"/>
      <c r="O186" s="1229"/>
      <c r="P186" s="1229"/>
      <c r="Q186" s="1229"/>
      <c r="R186" s="1229"/>
      <c r="S186" s="1782"/>
      <c r="T186" s="1782"/>
      <c r="U186" s="1782"/>
      <c r="V186" s="1782"/>
      <c r="W186" s="1231"/>
    </row>
    <row r="188" spans="1:43" s="1744" customFormat="1" ht="17.25" customHeight="1">
      <c r="A188" s="1744" t="s">
        <v>450</v>
      </c>
    </row>
    <row r="189" spans="1:43" ht="17.25" customHeight="1">
      <c r="G189" s="1767"/>
      <c r="H189" s="1767"/>
      <c r="I189" s="1767"/>
      <c r="M189"/>
    </row>
    <row r="190" spans="1:43" s="1796" customFormat="1" ht="15" customHeight="1">
      <c r="D190" s="2020"/>
      <c r="E190" s="1899"/>
      <c r="F190" s="1899"/>
      <c r="G190" s="1907"/>
      <c r="H190" s="1494"/>
      <c r="I190" s="2021">
        <v>1</v>
      </c>
      <c r="J190" s="1993"/>
      <c r="K190" s="1508"/>
      <c r="L190" s="1907" t="s">
        <v>58</v>
      </c>
      <c r="M190" s="1907" t="s">
        <v>58</v>
      </c>
      <c r="N190" s="1494"/>
      <c r="O190" s="1851" t="s">
        <v>105</v>
      </c>
      <c r="P190" s="2014"/>
      <c r="Q190" s="1509"/>
      <c r="R190" s="1907" t="s">
        <v>58</v>
      </c>
      <c r="S190" s="1907" t="s">
        <v>58</v>
      </c>
      <c r="T190" s="1783"/>
      <c r="U190" s="1851" t="s">
        <v>105</v>
      </c>
      <c r="V190" s="2016" t="str">
        <f>IF(AK190="","",INDEX(TERRITORY_MR_LIST,MATCH(AK190,TERRITORY_LIST_ID,0)))</f>
        <v/>
      </c>
      <c r="W190" s="1510"/>
      <c r="X190" s="1907" t="s">
        <v>58</v>
      </c>
      <c r="Y190" s="1907" t="s">
        <v>56</v>
      </c>
      <c r="Z190" s="1494"/>
      <c r="AA190" s="1851" t="s">
        <v>105</v>
      </c>
      <c r="AB190" s="2018"/>
      <c r="AC190" s="1511"/>
      <c r="AD190" s="1907" t="s">
        <v>58</v>
      </c>
      <c r="AE190" s="1907" t="s">
        <v>56</v>
      </c>
      <c r="AF190" s="1492"/>
      <c r="AG190" s="1740" t="s">
        <v>105</v>
      </c>
      <c r="AH190" s="1502"/>
      <c r="AI190" s="1730"/>
    </row>
    <row r="191" spans="1:43" s="1796" customFormat="1" ht="15" customHeight="1">
      <c r="D191" s="2020"/>
      <c r="E191" s="1899"/>
      <c r="F191" s="1899"/>
      <c r="G191" s="1908"/>
      <c r="H191" s="1494"/>
      <c r="I191" s="2021"/>
      <c r="J191" s="1993"/>
      <c r="K191" s="1493"/>
      <c r="L191" s="1908"/>
      <c r="M191" s="1908"/>
      <c r="N191" s="1494"/>
      <c r="O191" s="1851"/>
      <c r="P191" s="2014"/>
      <c r="Q191" s="1490"/>
      <c r="R191" s="1908"/>
      <c r="S191" s="1908"/>
      <c r="T191" s="1783"/>
      <c r="U191" s="1851"/>
      <c r="V191" s="2017"/>
      <c r="W191" s="1491"/>
      <c r="X191" s="1908"/>
      <c r="Y191" s="1908"/>
      <c r="Z191" s="1494"/>
      <c r="AA191" s="1851"/>
      <c r="AB191" s="2019"/>
      <c r="AC191" s="1495"/>
      <c r="AD191" s="1855"/>
      <c r="AE191" s="1855"/>
      <c r="AF191" s="1496"/>
      <c r="AG191" s="1497"/>
      <c r="AH191" s="2023" t="s">
        <v>451</v>
      </c>
      <c r="AI191" s="2024"/>
    </row>
    <row r="192" spans="1:43" s="1796" customFormat="1" ht="15" customHeight="1">
      <c r="D192" s="2020"/>
      <c r="E192" s="1899"/>
      <c r="F192" s="1899"/>
      <c r="G192" s="1908"/>
      <c r="H192" s="1494"/>
      <c r="I192" s="2021"/>
      <c r="J192" s="1993"/>
      <c r="K192" s="1493"/>
      <c r="L192" s="1908"/>
      <c r="M192" s="1908"/>
      <c r="N192" s="1494"/>
      <c r="O192" s="1851"/>
      <c r="P192" s="2014"/>
      <c r="Q192" s="1490"/>
      <c r="R192" s="1908"/>
      <c r="S192" s="1908"/>
      <c r="T192" s="1783"/>
      <c r="U192" s="1851"/>
      <c r="V192" s="2017"/>
      <c r="W192" s="1491"/>
      <c r="X192" s="1908"/>
      <c r="Y192" s="1908"/>
      <c r="Z192" s="1532"/>
      <c r="AA192" s="1499"/>
      <c r="AB192" s="2025" t="s">
        <v>452</v>
      </c>
      <c r="AC192" s="2025"/>
      <c r="AD192" s="2025"/>
      <c r="AE192" s="2025"/>
      <c r="AF192" s="2025"/>
      <c r="AG192" s="2025"/>
      <c r="AH192" s="2025"/>
      <c r="AI192" s="2026"/>
    </row>
    <row r="193" spans="1:63" s="1796" customFormat="1" ht="15" customHeight="1">
      <c r="D193" s="2020"/>
      <c r="E193" s="1899"/>
      <c r="F193" s="1899"/>
      <c r="G193" s="1908"/>
      <c r="H193" s="1494"/>
      <c r="I193" s="2021"/>
      <c r="J193" s="1993"/>
      <c r="K193" s="1493"/>
      <c r="L193" s="1908"/>
      <c r="M193" s="1908"/>
      <c r="N193" s="1494"/>
      <c r="O193" s="1851"/>
      <c r="P193" s="2027"/>
      <c r="Q193" s="1490"/>
      <c r="R193" s="1908"/>
      <c r="S193" s="1908"/>
      <c r="T193" s="1784"/>
      <c r="U193" s="1533"/>
      <c r="V193" s="2023" t="s">
        <v>99</v>
      </c>
      <c r="W193" s="2023"/>
      <c r="X193" s="2023"/>
      <c r="Y193" s="2023"/>
      <c r="Z193" s="2023"/>
      <c r="AA193" s="2023"/>
      <c r="AB193" s="2023"/>
      <c r="AC193" s="2023"/>
      <c r="AD193" s="2023"/>
      <c r="AE193" s="2023"/>
      <c r="AF193" s="2023"/>
      <c r="AG193" s="2023"/>
      <c r="AH193" s="2023"/>
      <c r="AI193" s="2024"/>
    </row>
    <row r="194" spans="1:63" s="1796" customFormat="1" ht="11.25" customHeight="1">
      <c r="D194" s="2020"/>
      <c r="E194" s="1899"/>
      <c r="F194" s="1899"/>
      <c r="G194" s="1908"/>
      <c r="H194" s="1498"/>
      <c r="I194" s="2021"/>
      <c r="J194" s="2022"/>
      <c r="K194" s="1493"/>
      <c r="L194" s="1908"/>
      <c r="M194" s="1908"/>
      <c r="N194" s="1498"/>
      <c r="O194" s="1499"/>
      <c r="P194" s="2023" t="s">
        <v>453</v>
      </c>
      <c r="Q194" s="2023"/>
      <c r="R194" s="2023"/>
      <c r="S194" s="2023"/>
      <c r="T194" s="2023"/>
      <c r="U194" s="2023"/>
      <c r="V194" s="2023"/>
      <c r="W194" s="2023"/>
      <c r="X194" s="2023"/>
      <c r="Y194" s="2023"/>
      <c r="Z194" s="2023"/>
      <c r="AA194" s="2023"/>
      <c r="AB194" s="2023"/>
      <c r="AC194" s="2023"/>
      <c r="AD194" s="2023"/>
      <c r="AE194" s="2023"/>
      <c r="AF194" s="2023"/>
      <c r="AG194" s="2023"/>
      <c r="AH194" s="2023"/>
      <c r="AI194" s="2024"/>
    </row>
    <row r="195" spans="1:63" s="1484" customFormat="1" ht="11.25" customHeight="1">
      <c r="D195" s="2020"/>
      <c r="E195" s="1899"/>
      <c r="F195" s="1899"/>
      <c r="G195" s="1855"/>
      <c r="H195" s="1500"/>
      <c r="I195" s="1501"/>
      <c r="J195" s="2023" t="s">
        <v>448</v>
      </c>
      <c r="K195" s="2023"/>
      <c r="L195" s="2023"/>
      <c r="M195" s="2023"/>
      <c r="N195" s="2023"/>
      <c r="O195" s="2023"/>
      <c r="P195" s="2023"/>
      <c r="Q195" s="2023"/>
      <c r="R195" s="2023"/>
      <c r="S195" s="2023"/>
      <c r="T195" s="2023"/>
      <c r="U195" s="2023"/>
      <c r="V195" s="2023"/>
      <c r="W195" s="2023"/>
      <c r="X195" s="2023"/>
      <c r="Y195" s="2023"/>
      <c r="Z195" s="2023"/>
      <c r="AA195" s="2023"/>
      <c r="AB195" s="2023"/>
      <c r="AC195" s="2023"/>
      <c r="AD195" s="2023"/>
      <c r="AE195" s="2023"/>
      <c r="AF195" s="2023"/>
      <c r="AG195" s="2023"/>
      <c r="AH195" s="2023"/>
      <c r="AI195" s="2024"/>
      <c r="BK195"/>
    </row>
    <row r="196" spans="1:63" ht="17.25" customHeight="1">
      <c r="G196" s="1767"/>
      <c r="I196" s="1767"/>
      <c r="J196" s="1767"/>
      <c r="N196"/>
    </row>
    <row r="197" spans="1:63" s="1796" customFormat="1" ht="15" customHeight="1">
      <c r="D197" s="2020"/>
      <c r="E197" s="1899"/>
      <c r="F197" s="1899"/>
      <c r="G197" s="1904"/>
      <c r="H197" s="1528"/>
      <c r="I197" s="1909"/>
      <c r="J197" s="1871"/>
      <c r="K197" s="1713"/>
      <c r="L197" s="1858"/>
      <c r="M197" s="1858"/>
      <c r="N197" s="1513"/>
      <c r="O197" s="1858"/>
      <c r="P197" s="1871"/>
      <c r="Q197" s="1717"/>
      <c r="R197" s="1858"/>
      <c r="S197" s="1858"/>
      <c r="T197" s="1785"/>
      <c r="U197" s="1858"/>
      <c r="V197" s="1871"/>
      <c r="W197" s="1516"/>
      <c r="X197" s="1858"/>
      <c r="Y197" s="1858"/>
      <c r="Z197" s="1513"/>
      <c r="AA197" s="1858"/>
      <c r="AB197" s="1871"/>
      <c r="AC197" s="1517"/>
      <c r="AD197" s="1858"/>
      <c r="AE197" s="1858"/>
      <c r="AF197" s="1711"/>
      <c r="AG197" s="1711"/>
      <c r="AH197" s="1518"/>
      <c r="AI197" s="1225"/>
    </row>
    <row r="198" spans="1:63" s="1796" customFormat="1" ht="15" customHeight="1">
      <c r="D198" s="2020"/>
      <c r="E198" s="1899"/>
      <c r="F198" s="1899"/>
      <c r="G198" s="1904"/>
      <c r="H198" s="1529"/>
      <c r="I198" s="1910"/>
      <c r="J198" s="1872"/>
      <c r="K198" s="1536"/>
      <c r="L198" s="1859"/>
      <c r="M198" s="1859"/>
      <c r="N198" s="1519"/>
      <c r="O198" s="1859"/>
      <c r="P198" s="1872"/>
      <c r="Q198" s="1718"/>
      <c r="R198" s="1859"/>
      <c r="S198" s="1859"/>
      <c r="T198" s="1786"/>
      <c r="U198" s="1859"/>
      <c r="V198" s="1872"/>
      <c r="W198" s="1522"/>
      <c r="X198" s="1859"/>
      <c r="Y198" s="1859"/>
      <c r="Z198" s="1519"/>
      <c r="AA198" s="1859"/>
      <c r="AB198" s="1872"/>
      <c r="AC198" s="1523"/>
      <c r="AD198" s="1859"/>
      <c r="AE198" s="1859"/>
      <c r="AF198" s="1716"/>
      <c r="AG198" s="1716"/>
      <c r="AH198" s="1913"/>
      <c r="AI198" s="1914"/>
    </row>
    <row r="199" spans="1:63" s="1796" customFormat="1" ht="15" customHeight="1">
      <c r="D199" s="2020"/>
      <c r="E199" s="1899"/>
      <c r="F199" s="1899"/>
      <c r="G199" s="1904"/>
      <c r="H199" s="1529"/>
      <c r="I199" s="1910"/>
      <c r="J199" s="1872"/>
      <c r="K199" s="1536"/>
      <c r="L199" s="1859"/>
      <c r="M199" s="1859"/>
      <c r="N199" s="1519"/>
      <c r="O199" s="1859"/>
      <c r="P199" s="1872"/>
      <c r="Q199" s="1718"/>
      <c r="R199" s="1859"/>
      <c r="S199" s="1859"/>
      <c r="T199" s="1786"/>
      <c r="U199" s="1859"/>
      <c r="V199" s="1872"/>
      <c r="W199" s="1522"/>
      <c r="X199" s="1859"/>
      <c r="Y199" s="1859"/>
      <c r="Z199" s="1714"/>
      <c r="AA199" s="1716"/>
      <c r="AB199" s="1913"/>
      <c r="AC199" s="1913"/>
      <c r="AD199" s="1913"/>
      <c r="AE199" s="1913"/>
      <c r="AF199" s="1913"/>
      <c r="AG199" s="1913"/>
      <c r="AH199" s="1913"/>
      <c r="AI199" s="1914"/>
    </row>
    <row r="200" spans="1:63" s="1796" customFormat="1" ht="15" customHeight="1">
      <c r="D200" s="2020"/>
      <c r="E200" s="1899"/>
      <c r="F200" s="1899"/>
      <c r="G200" s="1904"/>
      <c r="H200" s="1529"/>
      <c r="I200" s="1910"/>
      <c r="J200" s="1872"/>
      <c r="K200" s="1536"/>
      <c r="L200" s="1859"/>
      <c r="M200" s="1859"/>
      <c r="N200" s="1519"/>
      <c r="O200" s="1859"/>
      <c r="P200" s="1872"/>
      <c r="Q200" s="1718"/>
      <c r="R200" s="1859"/>
      <c r="S200" s="1859"/>
      <c r="T200" s="1787"/>
      <c r="U200" s="1526"/>
      <c r="V200" s="1913"/>
      <c r="W200" s="1913"/>
      <c r="X200" s="1913"/>
      <c r="Y200" s="1913"/>
      <c r="Z200" s="1913"/>
      <c r="AA200" s="1913"/>
      <c r="AB200" s="1913"/>
      <c r="AC200" s="1913"/>
      <c r="AD200" s="1913"/>
      <c r="AE200" s="1913"/>
      <c r="AF200" s="1913"/>
      <c r="AG200" s="1913"/>
      <c r="AH200" s="1913"/>
      <c r="AI200" s="1914"/>
    </row>
    <row r="201" spans="1:63" s="1796" customFormat="1" ht="11.25" customHeight="1">
      <c r="D201" s="2020"/>
      <c r="E201" s="1899"/>
      <c r="F201" s="1899"/>
      <c r="G201" s="1904"/>
      <c r="H201" s="1530"/>
      <c r="I201" s="1910"/>
      <c r="J201" s="1872"/>
      <c r="K201" s="1536"/>
      <c r="L201" s="1859"/>
      <c r="M201" s="1859"/>
      <c r="N201" s="1716"/>
      <c r="O201" s="1716"/>
      <c r="P201" s="1913"/>
      <c r="Q201" s="1913"/>
      <c r="R201" s="1913"/>
      <c r="S201" s="1913"/>
      <c r="T201" s="1913"/>
      <c r="U201" s="1913"/>
      <c r="V201" s="1913"/>
      <c r="W201" s="1913"/>
      <c r="X201" s="1913"/>
      <c r="Y201" s="1913"/>
      <c r="Z201" s="1913"/>
      <c r="AA201" s="1913"/>
      <c r="AB201" s="1913"/>
      <c r="AC201" s="1913"/>
      <c r="AD201" s="1913"/>
      <c r="AE201" s="1913"/>
      <c r="AF201" s="1913"/>
      <c r="AG201" s="1913"/>
      <c r="AH201" s="1913"/>
      <c r="AI201" s="1914"/>
    </row>
    <row r="202" spans="1:63" s="1484" customFormat="1" ht="11.25" customHeight="1">
      <c r="D202" s="2020"/>
      <c r="E202" s="1899"/>
      <c r="F202" s="1899"/>
      <c r="G202" s="1915"/>
      <c r="H202" s="1527"/>
      <c r="I202" s="1531"/>
      <c r="J202" s="1911"/>
      <c r="K202" s="1911"/>
      <c r="L202" s="1911"/>
      <c r="M202" s="1911"/>
      <c r="N202" s="1911"/>
      <c r="O202" s="1911"/>
      <c r="P202" s="1911"/>
      <c r="Q202" s="1911"/>
      <c r="R202" s="1911"/>
      <c r="S202" s="1911"/>
      <c r="T202" s="1911"/>
      <c r="U202" s="1911"/>
      <c r="V202" s="1911"/>
      <c r="W202" s="1911"/>
      <c r="X202" s="1911"/>
      <c r="Y202" s="1911"/>
      <c r="Z202" s="1911"/>
      <c r="AA202" s="1911"/>
      <c r="AB202" s="1911"/>
      <c r="AC202" s="1911"/>
      <c r="AD202" s="1911"/>
      <c r="AE202" s="1911"/>
      <c r="AF202" s="1911"/>
      <c r="AG202" s="1911"/>
      <c r="AH202" s="1911"/>
      <c r="AI202" s="1912"/>
      <c r="BK202"/>
    </row>
    <row r="203" spans="1:63" ht="17.25" customHeight="1">
      <c r="A203"/>
    </row>
  </sheetData>
  <sheetProtection formatColumns="0" formatRows="0" insertRows="0" deleteColumns="0" deleteRows="0" sort="0" autoFilter="0"/>
  <mergeCells count="285">
    <mergeCell ref="P179:P180"/>
    <mergeCell ref="Q179:Q180"/>
    <mergeCell ref="R179:R180"/>
    <mergeCell ref="S179:S180"/>
    <mergeCell ref="W179:W180"/>
    <mergeCell ref="W170:W171"/>
    <mergeCell ref="L175:L177"/>
    <mergeCell ref="M175:M177"/>
    <mergeCell ref="N175:N177"/>
    <mergeCell ref="O175:O177"/>
    <mergeCell ref="P175:P176"/>
    <mergeCell ref="Q175:Q176"/>
    <mergeCell ref="R175:R176"/>
    <mergeCell ref="S175:S176"/>
    <mergeCell ref="W175:W176"/>
    <mergeCell ref="P157:P158"/>
    <mergeCell ref="Q157:Q158"/>
    <mergeCell ref="R157:R158"/>
    <mergeCell ref="S157:S158"/>
    <mergeCell ref="H170:H173"/>
    <mergeCell ref="I170:I173"/>
    <mergeCell ref="J170:J173"/>
    <mergeCell ref="K170:K173"/>
    <mergeCell ref="L170:L172"/>
    <mergeCell ref="M170:M172"/>
    <mergeCell ref="N170:N172"/>
    <mergeCell ref="O170:O172"/>
    <mergeCell ref="P170:P171"/>
    <mergeCell ref="Q170:Q171"/>
    <mergeCell ref="R170:R171"/>
    <mergeCell ref="S170:S171"/>
    <mergeCell ref="S164:S165"/>
    <mergeCell ref="O148:O150"/>
    <mergeCell ref="P148:P149"/>
    <mergeCell ref="Q148:Q149"/>
    <mergeCell ref="R148:R149"/>
    <mergeCell ref="S148:S149"/>
    <mergeCell ref="L153:L155"/>
    <mergeCell ref="M153:M155"/>
    <mergeCell ref="N153:N155"/>
    <mergeCell ref="O153:O155"/>
    <mergeCell ref="P153:P154"/>
    <mergeCell ref="Q153:Q154"/>
    <mergeCell ref="R153:R154"/>
    <mergeCell ref="S153:S154"/>
    <mergeCell ref="AF89:AF93"/>
    <mergeCell ref="AG89:AG93"/>
    <mergeCell ref="AH89:AH93"/>
    <mergeCell ref="AI89:AI93"/>
    <mergeCell ref="AJ89:AJ93"/>
    <mergeCell ref="AK89:AK93"/>
    <mergeCell ref="N90:N92"/>
    <mergeCell ref="O90:O92"/>
    <mergeCell ref="P90:P92"/>
    <mergeCell ref="Q90:Q92"/>
    <mergeCell ref="R90:R92"/>
    <mergeCell ref="S90:S92"/>
    <mergeCell ref="T90:T92"/>
    <mergeCell ref="U90:U92"/>
    <mergeCell ref="V90:V92"/>
    <mergeCell ref="W90:W92"/>
    <mergeCell ref="X90:X92"/>
    <mergeCell ref="Y90:Y92"/>
    <mergeCell ref="S79:S81"/>
    <mergeCell ref="T79:T81"/>
    <mergeCell ref="U79:U81"/>
    <mergeCell ref="V79:V81"/>
    <mergeCell ref="W79:W81"/>
    <mergeCell ref="X79:X81"/>
    <mergeCell ref="Y79:Y81"/>
    <mergeCell ref="H89:H93"/>
    <mergeCell ref="I89:I93"/>
    <mergeCell ref="J89:J93"/>
    <mergeCell ref="K89:K93"/>
    <mergeCell ref="L89:L93"/>
    <mergeCell ref="M89:M93"/>
    <mergeCell ref="AB197:AB198"/>
    <mergeCell ref="AD197:AD198"/>
    <mergeCell ref="AE197:AE198"/>
    <mergeCell ref="AH198:AI198"/>
    <mergeCell ref="AB199:AI199"/>
    <mergeCell ref="V200:AI200"/>
    <mergeCell ref="P201:AI201"/>
    <mergeCell ref="J202:AI202"/>
    <mergeCell ref="AD190:AD191"/>
    <mergeCell ref="AE190:AE191"/>
    <mergeCell ref="AH191:AI191"/>
    <mergeCell ref="AB192:AI192"/>
    <mergeCell ref="V193:AI193"/>
    <mergeCell ref="P194:AI194"/>
    <mergeCell ref="J195:AI195"/>
    <mergeCell ref="P197:P200"/>
    <mergeCell ref="R197:R200"/>
    <mergeCell ref="S197:S200"/>
    <mergeCell ref="U197:U199"/>
    <mergeCell ref="V197:V199"/>
    <mergeCell ref="X197:X199"/>
    <mergeCell ref="Y197:Y199"/>
    <mergeCell ref="AA197:AA198"/>
    <mergeCell ref="P190:P193"/>
    <mergeCell ref="D197:D202"/>
    <mergeCell ref="E197:E202"/>
    <mergeCell ref="F197:F202"/>
    <mergeCell ref="G197:G202"/>
    <mergeCell ref="I197:I201"/>
    <mergeCell ref="J197:J201"/>
    <mergeCell ref="L197:L201"/>
    <mergeCell ref="M197:M201"/>
    <mergeCell ref="O197:O200"/>
    <mergeCell ref="R190:R193"/>
    <mergeCell ref="S190:S193"/>
    <mergeCell ref="U190:U192"/>
    <mergeCell ref="V190:V192"/>
    <mergeCell ref="X190:X192"/>
    <mergeCell ref="Y190:Y192"/>
    <mergeCell ref="AA190:AA191"/>
    <mergeCell ref="AB190:AB191"/>
    <mergeCell ref="D190:D195"/>
    <mergeCell ref="E190:E195"/>
    <mergeCell ref="F190:F195"/>
    <mergeCell ref="G190:G195"/>
    <mergeCell ref="I190:I194"/>
    <mergeCell ref="J190:J194"/>
    <mergeCell ref="L190:L194"/>
    <mergeCell ref="M190:M194"/>
    <mergeCell ref="O190:O193"/>
    <mergeCell ref="W164:W165"/>
    <mergeCell ref="D164:D168"/>
    <mergeCell ref="E164:E168"/>
    <mergeCell ref="F164:F168"/>
    <mergeCell ref="G164:G168"/>
    <mergeCell ref="H164:H167"/>
    <mergeCell ref="I164:I167"/>
    <mergeCell ref="J164:J167"/>
    <mergeCell ref="K164:K167"/>
    <mergeCell ref="L164:L166"/>
    <mergeCell ref="AJ70:AJ74"/>
    <mergeCell ref="AK70:AK74"/>
    <mergeCell ref="I75:K75"/>
    <mergeCell ref="F70:F75"/>
    <mergeCell ref="AF70:AF74"/>
    <mergeCell ref="AG70:AG74"/>
    <mergeCell ref="AH70:AH74"/>
    <mergeCell ref="AI70:AI74"/>
    <mergeCell ref="S71:S73"/>
    <mergeCell ref="T71:T73"/>
    <mergeCell ref="U71:U73"/>
    <mergeCell ref="V71:V73"/>
    <mergeCell ref="W71:W73"/>
    <mergeCell ref="X71:X73"/>
    <mergeCell ref="Y71:Y73"/>
    <mergeCell ref="H70:H74"/>
    <mergeCell ref="I70:I74"/>
    <mergeCell ref="J70:J74"/>
    <mergeCell ref="K70:K74"/>
    <mergeCell ref="L70:L74"/>
    <mergeCell ref="M70:M74"/>
    <mergeCell ref="N71:N73"/>
    <mergeCell ref="O71:O73"/>
    <mergeCell ref="Y60:Y61"/>
    <mergeCell ref="S60:S61"/>
    <mergeCell ref="T60:T61"/>
    <mergeCell ref="M60:M61"/>
    <mergeCell ref="N60:N61"/>
    <mergeCell ref="O60:O61"/>
    <mergeCell ref="Q60:Q61"/>
    <mergeCell ref="R60:R61"/>
    <mergeCell ref="W60:W61"/>
    <mergeCell ref="X60:X61"/>
    <mergeCell ref="P60:P61"/>
    <mergeCell ref="Q182:Q183"/>
    <mergeCell ref="R182:R183"/>
    <mergeCell ref="S182:S183"/>
    <mergeCell ref="P182:P183"/>
    <mergeCell ref="I182:I185"/>
    <mergeCell ref="F182:F186"/>
    <mergeCell ref="A13:A15"/>
    <mergeCell ref="D19:D21"/>
    <mergeCell ref="E19:E21"/>
    <mergeCell ref="F19:F21"/>
    <mergeCell ref="G19:G20"/>
    <mergeCell ref="H19:H20"/>
    <mergeCell ref="I19:I20"/>
    <mergeCell ref="J19:J20"/>
    <mergeCell ref="G25:G26"/>
    <mergeCell ref="H25:H26"/>
    <mergeCell ref="I25:I26"/>
    <mergeCell ref="J25:J26"/>
    <mergeCell ref="M164:M166"/>
    <mergeCell ref="N164:N166"/>
    <mergeCell ref="O164:O166"/>
    <mergeCell ref="P164:P165"/>
    <mergeCell ref="Q164:Q165"/>
    <mergeCell ref="R164:R165"/>
    <mergeCell ref="D182:D186"/>
    <mergeCell ref="I142:I145"/>
    <mergeCell ref="H182:H185"/>
    <mergeCell ref="J182:J185"/>
    <mergeCell ref="K182:K185"/>
    <mergeCell ref="M182:M184"/>
    <mergeCell ref="O182:O184"/>
    <mergeCell ref="L182:L184"/>
    <mergeCell ref="L142:L144"/>
    <mergeCell ref="N182:N184"/>
    <mergeCell ref="E142:E146"/>
    <mergeCell ref="N142:N144"/>
    <mergeCell ref="J142:J145"/>
    <mergeCell ref="F142:F146"/>
    <mergeCell ref="E182:E186"/>
    <mergeCell ref="H142:H145"/>
    <mergeCell ref="G182:G186"/>
    <mergeCell ref="H148:H151"/>
    <mergeCell ref="I148:I151"/>
    <mergeCell ref="J148:J151"/>
    <mergeCell ref="K148:K151"/>
    <mergeCell ref="L148:L150"/>
    <mergeCell ref="M148:M150"/>
    <mergeCell ref="N148:N150"/>
    <mergeCell ref="AC103:AC108"/>
    <mergeCell ref="E104:G104"/>
    <mergeCell ref="H104:R104"/>
    <mergeCell ref="E105:G105"/>
    <mergeCell ref="E127:E130"/>
    <mergeCell ref="F127:F130"/>
    <mergeCell ref="G127:G130"/>
    <mergeCell ref="L127:M127"/>
    <mergeCell ref="S127:S130"/>
    <mergeCell ref="H128:H129"/>
    <mergeCell ref="I128:I129"/>
    <mergeCell ref="J128:J129"/>
    <mergeCell ref="K128:K129"/>
    <mergeCell ref="H105:R105"/>
    <mergeCell ref="E106:P106"/>
    <mergeCell ref="U106:U108"/>
    <mergeCell ref="V106:V108"/>
    <mergeCell ref="E109:P109"/>
    <mergeCell ref="AC115:AC120"/>
    <mergeCell ref="E116:G116"/>
    <mergeCell ref="H116:R116"/>
    <mergeCell ref="E117:G117"/>
    <mergeCell ref="H117:R117"/>
    <mergeCell ref="E118:P118"/>
    <mergeCell ref="D115:D123"/>
    <mergeCell ref="E115:G115"/>
    <mergeCell ref="H115:R115"/>
    <mergeCell ref="D103:D111"/>
    <mergeCell ref="E103:G103"/>
    <mergeCell ref="H103:R103"/>
    <mergeCell ref="M142:M144"/>
    <mergeCell ref="P71:P73"/>
    <mergeCell ref="Q71:Q73"/>
    <mergeCell ref="R71:R73"/>
    <mergeCell ref="N79:N81"/>
    <mergeCell ref="O79:O81"/>
    <mergeCell ref="P79:P81"/>
    <mergeCell ref="Q79:Q81"/>
    <mergeCell ref="R79:R81"/>
    <mergeCell ref="H135:H136"/>
    <mergeCell ref="I135:I136"/>
    <mergeCell ref="J135:J136"/>
    <mergeCell ref="K135:K136"/>
    <mergeCell ref="F60:F61"/>
    <mergeCell ref="G60:G61"/>
    <mergeCell ref="H60:H61"/>
    <mergeCell ref="I60:I61"/>
    <mergeCell ref="J60:J61"/>
    <mergeCell ref="K60:K61"/>
    <mergeCell ref="U109:U111"/>
    <mergeCell ref="V109:V111"/>
    <mergeCell ref="D142:D146"/>
    <mergeCell ref="L60:L61"/>
    <mergeCell ref="G70:G74"/>
    <mergeCell ref="U121:U123"/>
    <mergeCell ref="V121:V123"/>
    <mergeCell ref="O142:O144"/>
    <mergeCell ref="S142:S143"/>
    <mergeCell ref="U60:U61"/>
    <mergeCell ref="V60:V61"/>
    <mergeCell ref="U118:U120"/>
    <mergeCell ref="V118:V120"/>
    <mergeCell ref="P142:P143"/>
    <mergeCell ref="Q142:Q143"/>
    <mergeCell ref="R142:R143"/>
    <mergeCell ref="G142:G146"/>
    <mergeCell ref="K142:K145"/>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0 AC197">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2:N144 N164:N166 N148:N150 N153:N155 N157:N158 N170:N172 N175:N177 N179:N180"/>
    <dataValidation type="list" allowBlank="1" showInputMessage="1" showErrorMessage="1" errorTitle="Ошибка" error="Выберите значение из списка" prompt="Выберите значение из списка" sqref="H98">
      <formula1>QRE_METHOD_LIST</formula1>
    </dataValidation>
    <dataValidation type="list" allowBlank="1" showInputMessage="1" showErrorMessage="1" errorTitle="Ошибка" error="Выберите значение из списка" prompt="Выберите значение из списка" sqref="J128:J129 J135:J136 J138">
      <formula1>kind_of_purchase_method</formula1>
    </dataValidation>
    <dataValidation allowBlank="1" showInputMessage="1" showErrorMessage="1" promptTitle="Ввод" prompt="Для выбора ИП необходимо два раза нажать левую кнопку мыши!" sqref="G60 G65"/>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48"/>
    <dataValidation type="whole" allowBlank="1" showErrorMessage="1" errorTitle="Ошибка" error="Допускается ввод только неотрицательных целых чисел!" sqref="AF79:AF81 AI79:AI81 AF89:AF93 AI89:AI93 AF85 AI85 AF70:AF74 AI70:AI74 N48 P48 U48:V48 Y48:Z48 J48 R48:S48 AC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48">
      <formula1>kind_of_power_te_unit</formula1>
    </dataValidation>
    <dataValidation allowBlank="1" showInputMessage="1" showErrorMessage="1" prompt="Изменение значения по двойному щелчоку левой кнопки мыши" sqref="J44"/>
    <dataValidation type="list" allowBlank="1" showInputMessage="1" showErrorMessage="1" sqref="I30">
      <formula1>DESCRIPTION_TERRITORY</formula1>
    </dataValidation>
    <dataValidation type="textLength" operator="lessThan" allowBlank="1" showInputMessage="1" showErrorMessage="1" error="Допускается ввод не более 900 символов!" sqref="M25 M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5 I70:J73 K60 K65 I85:J85 I89:J9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4 H52 F5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2:N184">
      <formula1>DESCRIPTION_TERRITORY</formula1>
    </dataValidation>
    <dataValidation allowBlank="1" showInputMessage="1" showErrorMessage="1" prompt="Выберите виды деятельности, выполнив двойной щелчок левой кнопки мыши по ячейке." sqref="G153:G155 G160 G142:G146 G179:G180 G148:G151 G164:G168 G170:G173 G175:G177 G157:G158"/>
    <dataValidation type="decimal" allowBlank="1" showErrorMessage="1" errorTitle="Ошибка" error="Допускается ввод только неотрицательных чисел!" sqref="Q135 O135 O138 Q138 Q128 O128 AC72 AE72 AC80 AE80 AE85 AE91 AC91 AC85 H48:I48 T48 X48 AB48 O48 Q48 K48 M48">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2 T60 I60:J60 X60 T65 I65:J65 X65"/>
    <dataValidation allowBlank="1" showInputMessage="1" showErrorMessage="1" prompt="Для выбора выполните двойной щелчок левой клавиши мыши по соответствующей ячейке." sqref="K182:K183 O182:O183 S142:S143 S182:S183 O142 K142 F153:F155 S164:S165 O164 K164 F160 K148 S148:S149 O148 F142:F146 K153 S153:S154 O153 O179 K157 S157:S158 O157 F148:F151 K170 S170:S171 O170 F164:F168 F170:F173 S175:S176 O175 F175:F177 F179:F180 S179:S180 F157:F158"/>
    <dataValidation type="textLength" operator="lessThanOrEqual" allowBlank="1" showInputMessage="1" showErrorMessage="1" errorTitle="Ошибка" error="Допускается ввод не более 900 символов!" sqref="L60:M60 E8 J182:J183 R182:R183 U60:W60 V182:W182 AB60 G13 M30 E35 E39:F39 E48 E52:F52 E56 G56 Q60:S60 M70 K70:K73 V142:W142 J142:J143 R142:R143 V164:W164 J164:J165 R164:R165 AI190 J190:J194 P190:P193 AI197 J197:J201 P197:P200 E4 L65:M65 U65:W65 AB65 Q65:S65 V160:W160 J160 R160 K79:K81 M89 K89:K92 K85 V148:W148 J148:J149 R148:R149 V153:W153 J153:J154 R153:R154 V157:W157 J157:J158 R157:R158 V170:W170 J170:J171 R170:R171 V175:W175 J175:J176 R175:R176 V179:W179 J179:J180 R179:R18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9765625" defaultRowHeight="14.25" customHeight="1"/>
  <cols>
    <col min="1" max="1" width="9.09765625" style="1794" hidden="1" customWidth="1"/>
    <col min="2" max="2" width="9.09765625" style="1292" hidden="1" customWidth="1"/>
    <col min="3" max="3" width="3.69921875" style="265" customWidth="1"/>
    <col min="4" max="4" width="6.296875" style="1560" customWidth="1"/>
    <col min="5" max="6" width="64.09765625" style="1560" customWidth="1"/>
    <col min="7" max="7" width="141.09765625" style="1560" customWidth="1"/>
    <col min="8" max="8" width="10.59765625" style="1560"/>
    <col min="9" max="10" width="10.59765625" style="1549"/>
    <col min="11" max="16" width="10.59765625" style="1560"/>
  </cols>
  <sheetData>
    <row r="1" spans="1:16" ht="14.25" hidden="1" customHeight="1">
      <c r="M1" s="170"/>
      <c r="N1" s="170"/>
      <c r="P1" s="170"/>
    </row>
    <row r="2" spans="1:16" ht="14.25" hidden="1" customHeight="1"/>
    <row r="3" spans="1:16" ht="14.25" hidden="1" customHeight="1"/>
    <row r="4" spans="1:16" ht="3" customHeight="1">
      <c r="C4" s="26"/>
      <c r="D4" s="15"/>
      <c r="E4" s="15"/>
      <c r="F4" s="16"/>
      <c r="G4" s="16"/>
    </row>
    <row r="5" spans="1:16" ht="25.5" customHeight="1">
      <c r="C5" s="26"/>
      <c r="D5" s="1833" t="str">
        <f>TERMS_NAME_FORM</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834"/>
      <c r="F5" s="1834"/>
      <c r="G5" s="1835"/>
    </row>
    <row r="6" spans="1:16" s="1560" customFormat="1" ht="18" customHeight="1">
      <c r="A6" s="800"/>
      <c r="B6" s="347"/>
      <c r="C6" s="300"/>
      <c r="D6" s="1940" t="str">
        <f>IF(org=0,"Не определено",org)</f>
        <v>НАО "СВЕЗА Мантурово"</v>
      </c>
      <c r="E6" s="1941"/>
      <c r="F6" s="1941"/>
      <c r="G6" s="1942"/>
      <c r="I6" s="426"/>
      <c r="J6" s="426"/>
    </row>
    <row r="7" spans="1:16" ht="14.25" customHeight="1">
      <c r="C7" s="26"/>
      <c r="D7" s="15"/>
      <c r="E7" s="25"/>
      <c r="F7" s="671"/>
      <c r="G7" s="110"/>
    </row>
    <row r="8" spans="1:16" s="1560" customFormat="1" ht="0.75" customHeight="1">
      <c r="A8" s="1594"/>
      <c r="B8" s="1070"/>
      <c r="C8" s="300"/>
      <c r="D8" s="286"/>
      <c r="E8" s="318"/>
      <c r="F8" s="671"/>
      <c r="G8" s="110"/>
      <c r="I8" s="1549"/>
      <c r="J8" s="1549"/>
    </row>
    <row r="9" spans="1:16" ht="14.25" customHeight="1">
      <c r="C9" s="26"/>
      <c r="D9" s="1925" t="s">
        <v>282</v>
      </c>
      <c r="E9" s="1925"/>
      <c r="F9" s="1925"/>
      <c r="G9" s="2029" t="s">
        <v>283</v>
      </c>
    </row>
    <row r="10" spans="1:16" ht="14.25" customHeight="1">
      <c r="C10" s="26"/>
      <c r="D10" s="32" t="s">
        <v>87</v>
      </c>
      <c r="E10" s="35" t="s">
        <v>284</v>
      </c>
      <c r="F10" s="35" t="s">
        <v>392</v>
      </c>
      <c r="G10" s="2029"/>
    </row>
    <row r="11" spans="1:16" ht="12" hidden="1" customHeight="1">
      <c r="C11" s="26"/>
      <c r="D11" s="18"/>
      <c r="E11" s="18"/>
      <c r="F11" s="18"/>
      <c r="G11" s="18"/>
    </row>
    <row r="12" spans="1:16" ht="62.25" customHeight="1">
      <c r="A12" s="109"/>
      <c r="C12" s="26"/>
      <c r="D12" s="67">
        <v>1</v>
      </c>
      <c r="E12" s="11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5" t="s">
        <v>288</v>
      </c>
      <c r="G12" s="71"/>
    </row>
    <row r="13" spans="1:16" ht="22.5" customHeight="1">
      <c r="A13" s="109"/>
      <c r="C13" s="26"/>
      <c r="D13" s="67" t="s">
        <v>441</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288</v>
      </c>
      <c r="G13" s="71"/>
    </row>
    <row r="14" spans="1:16" ht="14.25" customHeight="1">
      <c r="A14" s="109"/>
      <c r="C14" s="26"/>
      <c r="D14" s="67" t="s">
        <v>454</v>
      </c>
      <c r="E14" s="112"/>
      <c r="F14" s="130"/>
      <c r="G14" s="188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9"/>
      <c r="C15" s="26"/>
      <c r="D15" s="36"/>
      <c r="E15" s="270" t="s">
        <v>455</v>
      </c>
      <c r="F15" s="118"/>
      <c r="G15" s="1886"/>
    </row>
    <row r="16" spans="1:16" ht="14.25" customHeight="1">
      <c r="A16" s="109"/>
      <c r="C16" s="26"/>
      <c r="D16" s="67" t="s">
        <v>456</v>
      </c>
      <c r="E16"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5" t="s">
        <v>288</v>
      </c>
      <c r="G16" s="259"/>
    </row>
    <row r="17" spans="1:16" ht="14.25" customHeight="1">
      <c r="A17" s="109"/>
      <c r="C17" s="26"/>
      <c r="D17" s="67" t="s">
        <v>457</v>
      </c>
      <c r="E17" s="112"/>
      <c r="F17" s="314"/>
      <c r="G17" s="188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1560" customFormat="1" ht="21" customHeight="1">
      <c r="A18" s="264"/>
      <c r="B18" s="66"/>
      <c r="C18" s="222"/>
      <c r="D18" s="268"/>
      <c r="E18" s="270" t="s">
        <v>458</v>
      </c>
      <c r="F18" s="260"/>
      <c r="G18" s="1886"/>
      <c r="I18" s="271"/>
      <c r="J18" s="271"/>
    </row>
    <row r="19" spans="1:16" s="1560" customFormat="1" ht="256.5" hidden="1" customHeight="1">
      <c r="A19" s="264"/>
      <c r="B19" s="347"/>
      <c r="C19" s="300"/>
      <c r="D19" s="802" t="s">
        <v>459</v>
      </c>
      <c r="E19" s="801" t="s">
        <v>460</v>
      </c>
      <c r="F19" s="314"/>
      <c r="G19" s="259" t="s">
        <v>461</v>
      </c>
      <c r="I19" s="426"/>
      <c r="J19" s="426"/>
    </row>
    <row r="20" spans="1:16" s="1560" customFormat="1" ht="14.25" customHeight="1">
      <c r="A20" s="264"/>
      <c r="B20" s="66"/>
      <c r="C20" s="222"/>
      <c r="D20" s="803">
        <v>2</v>
      </c>
      <c r="E20" s="252" t="s">
        <v>462</v>
      </c>
      <c r="F20" s="115" t="s">
        <v>288</v>
      </c>
      <c r="G20" s="259"/>
      <c r="I20" s="271"/>
      <c r="J20" s="271"/>
    </row>
    <row r="21" spans="1:16" s="1560" customFormat="1" ht="18.75" hidden="1" customHeight="1">
      <c r="A21" s="264"/>
      <c r="B21" s="66"/>
      <c r="C21" s="222"/>
      <c r="D21" s="255" t="s">
        <v>463</v>
      </c>
      <c r="E21" s="254"/>
      <c r="F21" s="253"/>
      <c r="G21" s="263"/>
      <c r="H21" s="256"/>
      <c r="I21" s="271"/>
      <c r="J21" s="271"/>
    </row>
    <row r="22" spans="1:16" ht="15" customHeight="1">
      <c r="A22" s="109"/>
      <c r="C22" s="26"/>
      <c r="D22" s="36"/>
      <c r="E22" s="120" t="s">
        <v>464</v>
      </c>
      <c r="F22" s="260"/>
      <c r="G22" s="261"/>
    </row>
    <row r="23" spans="1:16" s="1560" customFormat="1" ht="22.5" hidden="1" customHeight="1">
      <c r="A23" s="264"/>
      <c r="B23" s="1070"/>
      <c r="C23" s="300"/>
      <c r="D23" s="1598" t="s">
        <v>106</v>
      </c>
      <c r="E23" s="114" t="s">
        <v>465</v>
      </c>
      <c r="F23" s="1595" t="s">
        <v>288</v>
      </c>
      <c r="G23" s="266"/>
      <c r="I23" s="1549"/>
      <c r="J23" s="1549"/>
    </row>
    <row r="24" spans="1:16" s="1560" customFormat="1" ht="14.25" hidden="1" customHeight="1">
      <c r="A24" s="264"/>
      <c r="B24" s="1070"/>
      <c r="C24" s="300"/>
      <c r="D24" s="1598" t="s">
        <v>466</v>
      </c>
      <c r="E24" s="1597" t="s">
        <v>467</v>
      </c>
      <c r="F24" s="1595" t="s">
        <v>288</v>
      </c>
      <c r="G24" s="259"/>
      <c r="I24" s="1549"/>
      <c r="J24" s="1549"/>
    </row>
    <row r="25" spans="1:16" s="1560" customFormat="1" ht="14.25" hidden="1" customHeight="1">
      <c r="A25" s="264"/>
      <c r="B25" s="1070"/>
      <c r="C25" s="300"/>
      <c r="D25" s="1598" t="s">
        <v>468</v>
      </c>
      <c r="E25" s="112"/>
      <c r="F25" s="314"/>
      <c r="G25" s="1884" t="s">
        <v>469</v>
      </c>
      <c r="I25" s="1549"/>
      <c r="J25" s="1549"/>
    </row>
    <row r="26" spans="1:16" s="1560" customFormat="1" ht="22.5" hidden="1" customHeight="1">
      <c r="A26" s="264"/>
      <c r="B26" s="1070"/>
      <c r="C26" s="300"/>
      <c r="D26" s="268"/>
      <c r="E26" s="270" t="s">
        <v>470</v>
      </c>
      <c r="F26" s="260"/>
      <c r="G26" s="1886"/>
      <c r="I26" s="1549"/>
      <c r="J26" s="1549"/>
    </row>
    <row r="27" spans="1:16" ht="3" customHeight="1"/>
    <row r="28" spans="1:16" ht="14.25" customHeight="1">
      <c r="D28" s="258"/>
      <c r="E28" s="257"/>
      <c r="F28" s="233"/>
      <c r="G28" s="233"/>
      <c r="H28" s="233"/>
      <c r="I28" s="233"/>
      <c r="J28" s="233"/>
      <c r="K28" s="233"/>
      <c r="L28" s="233"/>
      <c r="M28" s="233"/>
      <c r="N28" s="233"/>
      <c r="O28" s="233"/>
      <c r="P28" s="233"/>
    </row>
    <row r="29" spans="1:16" ht="14.25" customHeight="1">
      <c r="D29" s="258"/>
      <c r="E29" s="507"/>
    </row>
    <row r="31" spans="1:16" ht="14.25" customHeight="1">
      <c r="E31" s="677"/>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69921875"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37"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33"/>
      <c r="Q3" s="273"/>
      <c r="R3" s="274"/>
      <c r="S3" s="1237"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37"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37"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47.25" hidden="1" customHeight="1">
      <c r="A6" s="1289"/>
      <c r="B6" s="1289"/>
      <c r="C6" s="1289"/>
      <c r="D6" s="1289"/>
      <c r="E6" s="2043"/>
      <c r="F6" s="2043"/>
      <c r="G6" s="2043"/>
      <c r="H6" s="2043"/>
      <c r="I6" s="2044" t="e">
        <f>S5&amp;".1"</f>
        <v>#N/A</v>
      </c>
      <c r="J6" s="1289"/>
      <c r="K6" s="1289"/>
      <c r="L6" s="1290" t="s">
        <v>478</v>
      </c>
      <c r="M6" s="462"/>
      <c r="P6" s="1961">
        <v>1</v>
      </c>
      <c r="Q6" s="1234"/>
      <c r="R6" s="277"/>
      <c r="S6" s="1237" t="e">
        <f>$I6</f>
        <v>#N/A</v>
      </c>
      <c r="T6" s="200" t="s">
        <v>479</v>
      </c>
      <c r="U6" s="214"/>
      <c r="V6" s="2030"/>
      <c r="W6" s="2031"/>
      <c r="X6" s="2031"/>
      <c r="Y6" s="2031"/>
      <c r="Z6" s="2031"/>
      <c r="AA6" s="2031"/>
      <c r="AB6" s="2031"/>
      <c r="AC6" s="2032"/>
      <c r="AD6" s="2030"/>
      <c r="AE6" s="2031"/>
      <c r="AF6" s="2031"/>
      <c r="AG6" s="2031"/>
      <c r="AH6" s="2031"/>
      <c r="AI6" s="2031"/>
      <c r="AJ6" s="2031"/>
      <c r="AK6" s="2031"/>
      <c r="AL6" s="2032"/>
      <c r="AM6" s="1187" t="s">
        <v>480</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37"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37" t="e">
        <f>$K8</f>
        <v>#N/A</v>
      </c>
      <c r="T8" s="1274"/>
      <c r="U8" s="214"/>
      <c r="V8" s="669"/>
      <c r="W8" s="246"/>
      <c r="X8" s="669"/>
      <c r="Y8" s="1186"/>
      <c r="Z8" s="2046"/>
      <c r="AA8" s="1850" t="s">
        <v>58</v>
      </c>
      <c r="AB8" s="2046"/>
      <c r="AC8" s="1850" t="s">
        <v>58</v>
      </c>
      <c r="AD8" s="669"/>
      <c r="AE8" s="246"/>
      <c r="AF8" s="669"/>
      <c r="AG8" s="1186"/>
      <c r="AH8" s="2046"/>
      <c r="AI8" s="1850" t="s">
        <v>58</v>
      </c>
      <c r="AJ8" s="2046"/>
      <c r="AK8" s="1850" t="s">
        <v>58</v>
      </c>
      <c r="AL8" s="246"/>
      <c r="AM8" s="2064" t="s">
        <v>485</v>
      </c>
      <c r="AN8" s="437" t="e">
        <f ca="1">STRCHECKDATE(V9:AL9)</f>
        <v>#NAME?</v>
      </c>
      <c r="AO8" s="426"/>
      <c r="AP8" s="426" t="str">
        <f t="shared" si="0"/>
        <v/>
      </c>
      <c r="AQ8" s="426"/>
      <c r="AR8" s="426"/>
    </row>
    <row r="9" spans="1:44" ht="0.75" hidden="1" customHeight="1">
      <c r="A9" s="1289"/>
      <c r="B9" s="1289"/>
      <c r="C9" s="1289"/>
      <c r="D9" s="1289"/>
      <c r="E9" s="2043"/>
      <c r="F9" s="2043"/>
      <c r="G9" s="2043"/>
      <c r="H9" s="2043"/>
      <c r="I9" s="2045"/>
      <c r="J9" s="2045"/>
      <c r="K9" s="2044"/>
      <c r="L9" s="1290"/>
      <c r="M9" s="462"/>
      <c r="N9" s="1292"/>
      <c r="O9" s="1292"/>
      <c r="P9" s="1961"/>
      <c r="Q9" s="1961"/>
      <c r="R9" s="278"/>
      <c r="S9" s="1235"/>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3"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5" hidden="1" customHeight="1">
      <c r="A11" s="1289"/>
      <c r="B11" s="1289"/>
      <c r="C11" s="1289"/>
      <c r="D11" s="1289"/>
      <c r="E11" s="2043"/>
      <c r="F11" s="2043"/>
      <c r="G11" s="2043"/>
      <c r="H11" s="2043"/>
      <c r="I11" s="2044"/>
      <c r="J11" s="1289"/>
      <c r="K11" s="1289"/>
      <c r="L11" s="1290"/>
      <c r="M11" s="462"/>
      <c r="P11" s="1961"/>
      <c r="Q11" s="1234"/>
      <c r="R11" s="277"/>
      <c r="S11" s="1208"/>
      <c r="T11" s="202"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208"/>
      <c r="T12" s="288" t="s">
        <v>488</v>
      </c>
      <c r="U12" s="291"/>
      <c r="V12" s="291"/>
      <c r="W12" s="291"/>
      <c r="X12" s="291"/>
      <c r="Y12" s="291"/>
      <c r="Z12" s="291"/>
      <c r="AA12" s="291"/>
      <c r="AB12" s="291"/>
      <c r="AC12" s="290"/>
      <c r="AD12" s="291"/>
      <c r="AE12" s="291"/>
      <c r="AF12" s="291"/>
      <c r="AG12" s="291"/>
      <c r="AH12" s="291"/>
      <c r="AI12" s="291"/>
      <c r="AJ12" s="291"/>
      <c r="AK12" s="290"/>
      <c r="AL12" s="291"/>
      <c r="AM12" s="217"/>
      <c r="AO12" s="426"/>
      <c r="AP12" s="426" t="str">
        <f t="shared" si="0"/>
        <v>Добавить схему подключения</v>
      </c>
      <c r="AQ12" s="426"/>
      <c r="AR12" s="426"/>
    </row>
    <row r="13" spans="1:44" s="1567" customFormat="1" ht="0.7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0.7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0.7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P17" s="1239"/>
      <c r="AD17" s="1286"/>
      <c r="AE17" s="1286"/>
      <c r="AF17" s="1286"/>
      <c r="AG17" s="1287"/>
      <c r="AH17" s="2040"/>
      <c r="AI17" s="2039" t="s">
        <v>58</v>
      </c>
      <c r="AJ17" s="2040"/>
      <c r="AK17" s="2039" t="s">
        <v>58</v>
      </c>
    </row>
    <row r="18" spans="1:44" ht="14.25" hidden="1" customHeight="1">
      <c r="P18" s="1239"/>
      <c r="AD18" s="1286"/>
      <c r="AE18" s="1286"/>
      <c r="AF18" s="1286"/>
      <c r="AG18" s="250" t="str">
        <f>AH17&amp;"-"&amp;AJ17</f>
        <v>-</v>
      </c>
      <c r="AH18" s="2039"/>
      <c r="AI18" s="2039"/>
      <c r="AJ18" s="2039"/>
      <c r="AK18" s="2039"/>
    </row>
    <row r="19" spans="1:44" ht="14.25" hidden="1" customHeight="1">
      <c r="P19" s="1239"/>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14.2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c r="P23" s="1239"/>
    </row>
    <row r="24" spans="1:44" ht="14.25" hidden="1" customHeight="1">
      <c r="O24" s="1290"/>
      <c r="P24" s="1239"/>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64.5" customHeight="1">
      <c r="Q26" s="300"/>
      <c r="R26" s="300"/>
      <c r="S26" s="20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P33" s="1255"/>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18.7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134"/>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56"/>
      <c r="Y39" s="2056"/>
      <c r="Z39" s="2056"/>
      <c r="AA39" s="2056"/>
      <c r="AB39" s="2057"/>
      <c r="AC39" s="2058" t="s">
        <v>502</v>
      </c>
      <c r="AD39" s="2055" t="s">
        <v>501</v>
      </c>
      <c r="AE39" s="2056"/>
      <c r="AF39" s="2056"/>
      <c r="AG39" s="2056"/>
      <c r="AH39" s="2056"/>
      <c r="AI39" s="2056"/>
      <c r="AJ39" s="2057"/>
      <c r="AK39" s="2058" t="s">
        <v>503</v>
      </c>
      <c r="AL39" s="2061" t="s">
        <v>504</v>
      </c>
      <c r="AM39" s="1840"/>
    </row>
    <row r="40" spans="1:44" ht="33.75" customHeight="1">
      <c r="Q40" s="300"/>
      <c r="R40" s="300"/>
      <c r="S40" s="2054"/>
      <c r="T40" s="1925"/>
      <c r="U40" s="947"/>
      <c r="V40" s="1894" t="s">
        <v>505</v>
      </c>
      <c r="W40" s="2050" t="s">
        <v>506</v>
      </c>
      <c r="X40" s="1822" t="s">
        <v>507</v>
      </c>
      <c r="Y40" s="1821"/>
      <c r="Z40" s="1822" t="s">
        <v>508</v>
      </c>
      <c r="AA40" s="1827"/>
      <c r="AB40" s="1821"/>
      <c r="AC40" s="2059"/>
      <c r="AD40" s="1894" t="s">
        <v>505</v>
      </c>
      <c r="AE40" s="2050" t="s">
        <v>506</v>
      </c>
      <c r="AF40" s="1822" t="s">
        <v>507</v>
      </c>
      <c r="AG40" s="1821"/>
      <c r="AH40" s="1822" t="s">
        <v>508</v>
      </c>
      <c r="AI40" s="1827"/>
      <c r="AJ40" s="1821"/>
      <c r="AK40" s="2059"/>
      <c r="AL40" s="2062"/>
      <c r="AM40" s="1840"/>
    </row>
    <row r="41" spans="1:44" ht="33.7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Q41" s="300"/>
      <c r="R41" s="300"/>
      <c r="S41" s="2054"/>
      <c r="T41" s="1925"/>
      <c r="U41" s="216"/>
      <c r="V41" s="1950"/>
      <c r="W41" s="2051"/>
      <c r="X41" s="1138" t="s">
        <v>516</v>
      </c>
      <c r="Y41" s="1138" t="s">
        <v>517</v>
      </c>
      <c r="Z41" s="1137" t="s">
        <v>518</v>
      </c>
      <c r="AA41" s="1931" t="s">
        <v>519</v>
      </c>
      <c r="AB41" s="1945"/>
      <c r="AC41" s="2060"/>
      <c r="AD41" s="1950"/>
      <c r="AE41" s="2051"/>
      <c r="AF41" s="1138" t="s">
        <v>516</v>
      </c>
      <c r="AG41" s="1138" t="s">
        <v>517</v>
      </c>
      <c r="AH41" s="1241" t="s">
        <v>518</v>
      </c>
      <c r="AI41" s="1931" t="s">
        <v>519</v>
      </c>
      <c r="AJ41" s="1945"/>
      <c r="AK41" s="2060"/>
      <c r="AL41" s="2063"/>
      <c r="AM41" s="1840"/>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183">
        <f ca="1">OFFSET(V42,0,-1)+1</f>
        <v>3</v>
      </c>
      <c r="W42" s="1183"/>
      <c r="X42" s="1183">
        <f ca="1">OFFSET(X42,0,-1)+1</f>
        <v>1</v>
      </c>
      <c r="Y42" s="1183">
        <f ca="1">OFFSET(Y42,0,-1)+1</f>
        <v>2</v>
      </c>
      <c r="Z42" s="1183">
        <f ca="1">OFFSET(Z42,0,-1)+1</f>
        <v>3</v>
      </c>
      <c r="AA42" s="2052">
        <f ca="1">OFFSET(AA42,0,-1)+1</f>
        <v>4</v>
      </c>
      <c r="AB42" s="2052"/>
      <c r="AC42" s="1183">
        <f ca="1">OFFSET(AC42,0,-2)+1</f>
        <v>5</v>
      </c>
      <c r="AD42" s="1240">
        <f ca="1">OFFSET(AD42,0,-1)+1</f>
        <v>6</v>
      </c>
      <c r="AE42" s="1240"/>
      <c r="AF42" s="1240">
        <f ca="1">OFFSET(AF42,0,-1)+1</f>
        <v>1</v>
      </c>
      <c r="AG42" s="1240">
        <f ca="1">OFFSET(AG42,0,-1)+1</f>
        <v>2</v>
      </c>
      <c r="AH42" s="1240">
        <f ca="1">OFFSET(AH42,0,-1)+1</f>
        <v>3</v>
      </c>
      <c r="AI42" s="2052">
        <f ca="1">OFFSET(AI42,0,-1)+1</f>
        <v>4</v>
      </c>
      <c r="AJ42" s="2052"/>
      <c r="AK42" s="1240">
        <f ca="1">OFFSET(AK42,0,-2)+1</f>
        <v>5</v>
      </c>
      <c r="AL42" s="1164">
        <f ca="1">OFFSET(AL42,0,-1)</f>
        <v>5</v>
      </c>
      <c r="AM42" s="1183">
        <f ca="1">OFFSET(AM42,0,-1)+1</f>
        <v>6</v>
      </c>
      <c r="AN42" s="437"/>
      <c r="AO42" s="437"/>
      <c r="AP42" s="437"/>
      <c r="AQ42" s="437"/>
      <c r="AR42" s="437"/>
    </row>
    <row r="43" spans="1:44" ht="23.25" customHeight="1">
      <c r="A43" s="1289" t="s">
        <v>152</v>
      </c>
      <c r="B43" s="1289"/>
      <c r="C43" s="1289"/>
      <c r="D43" s="1289"/>
      <c r="E43" s="2042">
        <v>1</v>
      </c>
      <c r="F43" s="1289"/>
      <c r="G43" s="1289"/>
      <c r="H43" s="1289"/>
      <c r="I43" s="1289"/>
      <c r="J43" s="1289"/>
      <c r="K43" s="1289"/>
      <c r="L43" s="1290"/>
      <c r="M43" s="1291"/>
      <c r="N43" s="1291"/>
      <c r="O43" s="1291"/>
      <c r="P43" s="282"/>
      <c r="Q43" s="281"/>
      <c r="R43" s="276"/>
      <c r="S43" s="1142">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3.25" customHeight="1">
      <c r="A44" s="1289" t="s">
        <v>152</v>
      </c>
      <c r="B44" s="1289" t="s">
        <v>153</v>
      </c>
      <c r="C44" s="1289"/>
      <c r="D44" s="1289"/>
      <c r="E44" s="2043"/>
      <c r="F44" s="2042">
        <v>1</v>
      </c>
      <c r="G44" s="1289"/>
      <c r="H44" s="1289"/>
      <c r="I44" s="1289"/>
      <c r="J44" s="1289"/>
      <c r="K44" s="1289"/>
      <c r="L44" s="1290"/>
      <c r="M44" s="1291"/>
      <c r="N44" s="1291"/>
      <c r="O44" s="1291"/>
      <c r="P44" s="448"/>
      <c r="Q44" s="273"/>
      <c r="R44" s="274"/>
      <c r="S44" s="1142"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152</v>
      </c>
      <c r="B45" s="1289" t="s">
        <v>153</v>
      </c>
      <c r="C45" s="1289" t="s">
        <v>154</v>
      </c>
      <c r="D45" s="1289"/>
      <c r="E45" s="2043"/>
      <c r="F45" s="2043"/>
      <c r="G45" s="2042">
        <v>1</v>
      </c>
      <c r="H45" s="1289"/>
      <c r="I45" s="1289"/>
      <c r="J45" s="1289"/>
      <c r="K45" s="1289"/>
      <c r="L45" s="1290"/>
      <c r="M45" s="1291"/>
      <c r="N45" s="1291"/>
      <c r="O45" s="1291"/>
      <c r="P45" s="275"/>
      <c r="Q45" s="273"/>
      <c r="R45" s="274"/>
      <c r="S45" s="1142"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3.25" customHeight="1">
      <c r="A46" s="1289" t="s">
        <v>152</v>
      </c>
      <c r="B46" s="1289" t="s">
        <v>153</v>
      </c>
      <c r="C46" s="1289" t="s">
        <v>154</v>
      </c>
      <c r="D46" s="1289" t="s">
        <v>155</v>
      </c>
      <c r="E46" s="2043"/>
      <c r="F46" s="2043"/>
      <c r="G46" s="2043"/>
      <c r="H46" s="2042">
        <v>1</v>
      </c>
      <c r="I46" s="1289"/>
      <c r="J46" s="1289"/>
      <c r="K46" s="1289"/>
      <c r="L46" s="1290"/>
      <c r="M46" s="1291"/>
      <c r="N46" s="1291"/>
      <c r="O46" s="1291"/>
      <c r="P46" s="275"/>
      <c r="Q46" s="273"/>
      <c r="R46" s="274"/>
      <c r="S46" s="1142"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ht="47.25" customHeight="1">
      <c r="A47" s="1289" t="s">
        <v>152</v>
      </c>
      <c r="B47" s="1289" t="s">
        <v>153</v>
      </c>
      <c r="C47" s="1289" t="s">
        <v>154</v>
      </c>
      <c r="D47" s="1289" t="s">
        <v>155</v>
      </c>
      <c r="E47" s="2043"/>
      <c r="F47" s="2043"/>
      <c r="G47" s="2043"/>
      <c r="H47" s="2043"/>
      <c r="I47" s="2044" t="str">
        <f>S46&amp;".1"</f>
        <v>....1</v>
      </c>
      <c r="J47" s="1289"/>
      <c r="K47" s="1289"/>
      <c r="L47" s="1290" t="s">
        <v>478</v>
      </c>
      <c r="P47" s="1961">
        <v>1</v>
      </c>
      <c r="Q47" s="1136"/>
      <c r="R47" s="277"/>
      <c r="S47" s="1142" t="str">
        <f>$I47</f>
        <v>....1</v>
      </c>
      <c r="T47" s="200" t="s">
        <v>479</v>
      </c>
      <c r="U47" s="214"/>
      <c r="V47" s="2030"/>
      <c r="W47" s="2031"/>
      <c r="X47" s="2031"/>
      <c r="Y47" s="2031"/>
      <c r="Z47" s="2031"/>
      <c r="AA47" s="2031"/>
      <c r="AB47" s="2031"/>
      <c r="AC47" s="2032"/>
      <c r="AD47" s="2030"/>
      <c r="AE47" s="2031"/>
      <c r="AF47" s="2031"/>
      <c r="AG47" s="2031"/>
      <c r="AH47" s="2031"/>
      <c r="AI47" s="2031"/>
      <c r="AJ47" s="2031"/>
      <c r="AK47" s="2031"/>
      <c r="AL47" s="2032"/>
      <c r="AM47" s="1187" t="s">
        <v>480</v>
      </c>
      <c r="AO47" s="426"/>
      <c r="AP47" s="426" t="str">
        <f t="shared" si="1"/>
        <v>Схема подключения теплопотребляющей установки к коллектору источника тепловой энергии</v>
      </c>
      <c r="AQ47" s="426"/>
      <c r="AR47" s="426"/>
    </row>
    <row r="48" spans="1:44" ht="23.25" customHeight="1">
      <c r="A48" s="1289" t="s">
        <v>152</v>
      </c>
      <c r="B48" s="1289" t="s">
        <v>153</v>
      </c>
      <c r="C48" s="1289" t="s">
        <v>154</v>
      </c>
      <c r="D48" s="1289" t="s">
        <v>155</v>
      </c>
      <c r="E48" s="2043"/>
      <c r="F48" s="2043"/>
      <c r="G48" s="2043"/>
      <c r="H48" s="2043"/>
      <c r="I48" s="2045"/>
      <c r="J48" s="2044" t="str">
        <f>I47&amp;".1"</f>
        <v>....1.1</v>
      </c>
      <c r="K48" s="1289"/>
      <c r="L48" s="1290" t="s">
        <v>481</v>
      </c>
      <c r="P48" s="1961"/>
      <c r="Q48" s="1961">
        <v>1</v>
      </c>
      <c r="R48" s="278"/>
      <c r="S48" s="1142" t="str">
        <f>$J48</f>
        <v>....1.1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3.25" customHeight="1">
      <c r="A49" s="1289" t="s">
        <v>152</v>
      </c>
      <c r="B49" s="1289" t="s">
        <v>153</v>
      </c>
      <c r="C49" s="1289" t="s">
        <v>154</v>
      </c>
      <c r="D49" s="1289" t="s">
        <v>155</v>
      </c>
      <c r="E49" s="2043"/>
      <c r="F49" s="2043"/>
      <c r="G49" s="2043"/>
      <c r="H49" s="2043"/>
      <c r="I49" s="2045"/>
      <c r="J49" s="2045"/>
      <c r="K49" s="2044" t="str">
        <f>J48&amp;".1"</f>
        <v>....1.1.1</v>
      </c>
      <c r="L49" s="1290" t="s">
        <v>484</v>
      </c>
      <c r="P49" s="1961"/>
      <c r="Q49" s="1961"/>
      <c r="R49" s="278">
        <v>1</v>
      </c>
      <c r="S49" s="1142" t="str">
        <f>$K49</f>
        <v>....1.1.1</v>
      </c>
      <c r="T49" s="1274"/>
      <c r="U49" s="214"/>
      <c r="V49" s="669"/>
      <c r="W49" s="246"/>
      <c r="X49" s="669"/>
      <c r="Y49" s="1186"/>
      <c r="Z49" s="2046"/>
      <c r="AA49" s="1850" t="s">
        <v>58</v>
      </c>
      <c r="AB49" s="2046"/>
      <c r="AC49" s="1850" t="s">
        <v>58</v>
      </c>
      <c r="AD49" s="669"/>
      <c r="AE49" s="246"/>
      <c r="AF49" s="669"/>
      <c r="AG49" s="1186"/>
      <c r="AH49" s="2046"/>
      <c r="AI49" s="1850" t="s">
        <v>58</v>
      </c>
      <c r="AJ49" s="2048"/>
      <c r="AK49" s="1850" t="s">
        <v>58</v>
      </c>
      <c r="AL49" s="1275"/>
      <c r="AM49" s="2064" t="s">
        <v>485</v>
      </c>
      <c r="AN49" s="437" t="e">
        <f ca="1">STRCHECKDATE(V50:AL50)</f>
        <v>#NAME?</v>
      </c>
      <c r="AO49" s="426"/>
      <c r="AP49" s="426" t="str">
        <f t="shared" si="1"/>
        <v/>
      </c>
      <c r="AQ49" s="426"/>
      <c r="AR49" s="426"/>
    </row>
    <row r="50" spans="1:44" ht="0.75" customHeight="1">
      <c r="A50" s="1289" t="s">
        <v>152</v>
      </c>
      <c r="B50" s="1289" t="s">
        <v>153</v>
      </c>
      <c r="C50" s="1289" t="s">
        <v>154</v>
      </c>
      <c r="D50" s="1289" t="s">
        <v>155</v>
      </c>
      <c r="E50" s="2043"/>
      <c r="F50" s="2043"/>
      <c r="G50" s="2043"/>
      <c r="H50" s="2043"/>
      <c r="I50" s="2045"/>
      <c r="J50" s="2045"/>
      <c r="K50" s="2044"/>
      <c r="L50" s="1290"/>
      <c r="P50" s="1961"/>
      <c r="Q50" s="1961"/>
      <c r="R50" s="278"/>
      <c r="S50" s="1140"/>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152</v>
      </c>
      <c r="B51" s="1289" t="s">
        <v>153</v>
      </c>
      <c r="C51" s="1289" t="s">
        <v>154</v>
      </c>
      <c r="D51" s="1289" t="s">
        <v>155</v>
      </c>
      <c r="E51" s="2043"/>
      <c r="F51" s="2043"/>
      <c r="G51" s="2043"/>
      <c r="H51" s="2043"/>
      <c r="I51" s="2045"/>
      <c r="J51" s="2044"/>
      <c r="K51" s="1289"/>
      <c r="L51" s="1290"/>
      <c r="P51" s="1961"/>
      <c r="Q51" s="1961"/>
      <c r="R51" s="277"/>
      <c r="S51" s="1208"/>
      <c r="T51" s="203"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152</v>
      </c>
      <c r="B52" s="1289" t="s">
        <v>153</v>
      </c>
      <c r="C52" s="1289" t="s">
        <v>154</v>
      </c>
      <c r="D52" s="1289" t="s">
        <v>155</v>
      </c>
      <c r="E52" s="2043"/>
      <c r="F52" s="2043"/>
      <c r="G52" s="2043"/>
      <c r="H52" s="2043"/>
      <c r="I52" s="2044"/>
      <c r="J52" s="1289"/>
      <c r="K52" s="1289"/>
      <c r="L52" s="1290"/>
      <c r="P52" s="1961"/>
      <c r="Q52" s="1136"/>
      <c r="R52" s="277"/>
      <c r="S52" s="1208"/>
      <c r="T52" s="202"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14.25" customHeight="1">
      <c r="A53" s="1289" t="s">
        <v>152</v>
      </c>
      <c r="B53" s="1289" t="s">
        <v>153</v>
      </c>
      <c r="C53" s="1289" t="s">
        <v>154</v>
      </c>
      <c r="D53" s="1289" t="s">
        <v>155</v>
      </c>
      <c r="E53" s="2043"/>
      <c r="F53" s="2043"/>
      <c r="G53" s="2043"/>
      <c r="H53" s="2042"/>
      <c r="I53" s="1289"/>
      <c r="J53" s="1289"/>
      <c r="K53" s="1289"/>
      <c r="L53" s="1290"/>
      <c r="M53" s="1291"/>
      <c r="N53" s="1291"/>
      <c r="O53" s="462"/>
      <c r="P53" s="281"/>
      <c r="Q53" s="299"/>
      <c r="R53" s="276"/>
      <c r="S53" s="1208"/>
      <c r="T53" s="288" t="s">
        <v>488</v>
      </c>
      <c r="U53" s="291"/>
      <c r="V53" s="291"/>
      <c r="W53" s="291"/>
      <c r="X53" s="291"/>
      <c r="Y53" s="291"/>
      <c r="Z53" s="291"/>
      <c r="AA53" s="291"/>
      <c r="AB53" s="291"/>
      <c r="AC53" s="290"/>
      <c r="AD53" s="291"/>
      <c r="AE53" s="291"/>
      <c r="AF53" s="291"/>
      <c r="AG53" s="291"/>
      <c r="AH53" s="291"/>
      <c r="AI53" s="291"/>
      <c r="AJ53" s="291"/>
      <c r="AK53" s="290"/>
      <c r="AL53" s="291"/>
      <c r="AM53" s="217"/>
      <c r="AO53" s="426"/>
      <c r="AP53" s="426" t="str">
        <f t="shared" si="1"/>
        <v>Добавить схему подключения</v>
      </c>
      <c r="AQ53" s="426"/>
      <c r="AR53" s="426"/>
    </row>
    <row r="54" spans="1:44" s="1567" customFormat="1" ht="0.75" customHeight="1">
      <c r="A54" s="1270" t="s">
        <v>152</v>
      </c>
      <c r="B54" s="1270" t="s">
        <v>153</v>
      </c>
      <c r="C54" s="1270" t="s">
        <v>154</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75" customHeight="1">
      <c r="A55" s="1270" t="s">
        <v>152</v>
      </c>
      <c r="B55" s="1270" t="s">
        <v>153</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75" customHeight="1">
      <c r="A56" s="1270" t="s">
        <v>152</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0.7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27" hidden="1" customHeight="1">
      <c r="O59" s="462"/>
      <c r="S59" s="1174" t="s">
        <v>520</v>
      </c>
      <c r="T59" s="2041" t="s">
        <v>521</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64.5" hidden="1" customHeight="1">
      <c r="O60" s="462"/>
      <c r="P60" s="1232"/>
      <c r="T60" s="2041" t="s">
        <v>522</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14.25" hidden="1" customHeight="1">
      <c r="O61" s="462"/>
    </row>
    <row r="62" spans="1:44" ht="18" hidden="1" customHeight="1">
      <c r="O62" s="462"/>
      <c r="P62" s="1255"/>
      <c r="S62" s="1174" t="s">
        <v>520</v>
      </c>
      <c r="T62" s="2041" t="s">
        <v>523</v>
      </c>
      <c r="U62" s="2041"/>
      <c r="V62" s="2041"/>
      <c r="W62" s="2041"/>
      <c r="X62" s="2041"/>
      <c r="Y62" s="2041"/>
      <c r="Z62" s="2041"/>
      <c r="AA62" s="2041"/>
      <c r="AB62" s="2041"/>
      <c r="AC62" s="2041"/>
      <c r="AD62" s="2041"/>
      <c r="AE62" s="2041"/>
      <c r="AF62" s="2041"/>
      <c r="AG62" s="2041"/>
      <c r="AH62" s="2041"/>
      <c r="AI62" s="2041"/>
      <c r="AJ62" s="2041"/>
      <c r="AK62" s="2041"/>
      <c r="AL62" s="2041"/>
      <c r="AM62" s="2041"/>
    </row>
    <row r="63" spans="1:44" ht="18" hidden="1" customHeight="1">
      <c r="O63" s="462"/>
      <c r="P63" s="1255"/>
      <c r="T63" s="2041" t="s">
        <v>524</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27.75" hidden="1" customHeight="1">
      <c r="O64" s="462"/>
      <c r="P64" s="1255"/>
      <c r="S64" s="1174"/>
      <c r="T64" s="2041" t="s">
        <v>525</v>
      </c>
      <c r="U64" s="2041"/>
      <c r="V64" s="2041"/>
      <c r="W64" s="2041"/>
      <c r="X64" s="2041"/>
      <c r="Y64" s="2041"/>
      <c r="Z64" s="2041"/>
      <c r="AA64" s="2041"/>
      <c r="AB64" s="2041"/>
      <c r="AC64" s="2041"/>
      <c r="AD64" s="2041"/>
      <c r="AE64" s="2041"/>
      <c r="AF64" s="2041"/>
      <c r="AG64" s="2041"/>
      <c r="AH64" s="2041"/>
      <c r="AI64" s="2041"/>
      <c r="AJ64" s="2041"/>
      <c r="AK64" s="2041"/>
      <c r="AL64" s="2041"/>
      <c r="AM64" s="2041"/>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2"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69921875"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63"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59"/>
      <c r="Q3" s="273"/>
      <c r="R3" s="274"/>
      <c r="S3" s="1263"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63"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63"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47.25" hidden="1" customHeight="1">
      <c r="A6" s="1289"/>
      <c r="B6" s="1289"/>
      <c r="C6" s="1289"/>
      <c r="D6" s="1289"/>
      <c r="E6" s="2043"/>
      <c r="F6" s="2043"/>
      <c r="G6" s="2043"/>
      <c r="H6" s="2043"/>
      <c r="I6" s="2044" t="e">
        <f>S5&amp;".1"</f>
        <v>#N/A</v>
      </c>
      <c r="J6" s="1289"/>
      <c r="K6" s="1289"/>
      <c r="L6" s="1290" t="s">
        <v>478</v>
      </c>
      <c r="M6" s="462"/>
      <c r="P6" s="1961">
        <v>1</v>
      </c>
      <c r="Q6" s="1258"/>
      <c r="R6" s="277"/>
      <c r="S6" s="1263" t="e">
        <f>$I6</f>
        <v>#N/A</v>
      </c>
      <c r="T6" s="200" t="s">
        <v>479</v>
      </c>
      <c r="U6" s="214"/>
      <c r="V6" s="2030"/>
      <c r="W6" s="2031"/>
      <c r="X6" s="2031"/>
      <c r="Y6" s="2031"/>
      <c r="Z6" s="2031"/>
      <c r="AA6" s="2031"/>
      <c r="AB6" s="2031"/>
      <c r="AC6" s="2032"/>
      <c r="AD6" s="2030"/>
      <c r="AE6" s="2031"/>
      <c r="AF6" s="2031"/>
      <c r="AG6" s="2031"/>
      <c r="AH6" s="2031"/>
      <c r="AI6" s="2031"/>
      <c r="AJ6" s="2031"/>
      <c r="AK6" s="2031"/>
      <c r="AL6" s="2032"/>
      <c r="AM6" s="1187" t="s">
        <v>480</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63"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63" t="e">
        <f>$K8</f>
        <v>#N/A</v>
      </c>
      <c r="T8" s="1274"/>
      <c r="U8" s="214"/>
      <c r="V8" s="669"/>
      <c r="W8" s="246"/>
      <c r="X8" s="669"/>
      <c r="Y8" s="1186"/>
      <c r="Z8" s="2046"/>
      <c r="AA8" s="1850" t="s">
        <v>58</v>
      </c>
      <c r="AB8" s="2046"/>
      <c r="AC8" s="1850" t="s">
        <v>58</v>
      </c>
      <c r="AD8" s="669"/>
      <c r="AE8" s="246"/>
      <c r="AF8" s="669"/>
      <c r="AG8" s="1186"/>
      <c r="AH8" s="2046"/>
      <c r="AI8" s="1850" t="s">
        <v>58</v>
      </c>
      <c r="AJ8" s="2046"/>
      <c r="AK8" s="1850" t="s">
        <v>58</v>
      </c>
      <c r="AL8" s="246"/>
      <c r="AM8" s="2064" t="s">
        <v>485</v>
      </c>
      <c r="AN8" s="437" t="e">
        <f ca="1">STRCHECKDATE(V9:AL9)</f>
        <v>#NAME?</v>
      </c>
      <c r="AO8" s="426"/>
      <c r="AP8" s="426" t="str">
        <f t="shared" si="0"/>
        <v/>
      </c>
      <c r="AQ8" s="426"/>
      <c r="AR8" s="426"/>
    </row>
    <row r="9" spans="1:44" ht="0.75" hidden="1" customHeight="1">
      <c r="A9" s="1289"/>
      <c r="B9" s="1289"/>
      <c r="C9" s="1289"/>
      <c r="D9" s="1289"/>
      <c r="E9" s="2043"/>
      <c r="F9" s="2043"/>
      <c r="G9" s="2043"/>
      <c r="H9" s="2043"/>
      <c r="I9" s="2045"/>
      <c r="J9" s="2045"/>
      <c r="K9" s="2044"/>
      <c r="L9" s="1290"/>
      <c r="M9" s="462"/>
      <c r="N9" s="1292"/>
      <c r="O9" s="1292"/>
      <c r="P9" s="1961"/>
      <c r="Q9" s="1961"/>
      <c r="R9" s="278"/>
      <c r="S9" s="1269"/>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3"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5" hidden="1" customHeight="1">
      <c r="A11" s="1289"/>
      <c r="B11" s="1289"/>
      <c r="C11" s="1289"/>
      <c r="D11" s="1289"/>
      <c r="E11" s="2043"/>
      <c r="F11" s="2043"/>
      <c r="G11" s="2043"/>
      <c r="H11" s="2043"/>
      <c r="I11" s="2044"/>
      <c r="J11" s="1289"/>
      <c r="K11" s="1289"/>
      <c r="L11" s="1290"/>
      <c r="M11" s="462"/>
      <c r="P11" s="1961"/>
      <c r="Q11" s="1258"/>
      <c r="R11" s="277"/>
      <c r="S11" s="1208"/>
      <c r="T11" s="202"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208"/>
      <c r="T12" s="288" t="s">
        <v>488</v>
      </c>
      <c r="U12" s="291"/>
      <c r="V12" s="291"/>
      <c r="W12" s="291"/>
      <c r="X12" s="291"/>
      <c r="Y12" s="291"/>
      <c r="Z12" s="291"/>
      <c r="AA12" s="291"/>
      <c r="AB12" s="291"/>
      <c r="AC12" s="290"/>
      <c r="AD12" s="291"/>
      <c r="AE12" s="291"/>
      <c r="AF12" s="291"/>
      <c r="AG12" s="291"/>
      <c r="AH12" s="291"/>
      <c r="AI12" s="291"/>
      <c r="AJ12" s="291"/>
      <c r="AK12" s="290"/>
      <c r="AL12" s="291"/>
      <c r="AM12" s="217"/>
      <c r="AO12" s="426"/>
      <c r="AP12" s="426" t="str">
        <f t="shared" si="0"/>
        <v>Добавить схему подключения</v>
      </c>
      <c r="AQ12" s="426"/>
      <c r="AR12" s="426"/>
    </row>
    <row r="13" spans="1:44" s="1567" customFormat="1" ht="0.7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0.7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0.7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AD17" s="1286"/>
      <c r="AE17" s="1286"/>
      <c r="AF17" s="1286"/>
      <c r="AG17" s="1287"/>
      <c r="AH17" s="2040"/>
      <c r="AI17" s="2039" t="s">
        <v>58</v>
      </c>
      <c r="AJ17" s="2040"/>
      <c r="AK17" s="2039" t="s">
        <v>58</v>
      </c>
    </row>
    <row r="18" spans="1:44" ht="14.25" hidden="1" customHeight="1">
      <c r="AD18" s="1286"/>
      <c r="AE18" s="1286"/>
      <c r="AF18" s="1286"/>
      <c r="AG18" s="250" t="str">
        <f>AH17&amp;"-"&amp;AJ17</f>
        <v>-</v>
      </c>
      <c r="AH18" s="2039"/>
      <c r="AI18" s="2039"/>
      <c r="AJ18" s="2039"/>
      <c r="AK18" s="2039"/>
    </row>
    <row r="19" spans="1:44" ht="14.25" hidden="1" customHeight="1">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14.2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row>
    <row r="24" spans="1:44" ht="14.25" hidden="1" customHeight="1">
      <c r="O24" s="1290"/>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64.5" customHeight="1">
      <c r="Q26" s="300"/>
      <c r="R26" s="300"/>
      <c r="S26" s="20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18.7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267"/>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56"/>
      <c r="Y39" s="2056"/>
      <c r="Z39" s="2056"/>
      <c r="AA39" s="2056"/>
      <c r="AB39" s="2057"/>
      <c r="AC39" s="2058" t="s">
        <v>502</v>
      </c>
      <c r="AD39" s="2055" t="s">
        <v>501</v>
      </c>
      <c r="AE39" s="2056"/>
      <c r="AF39" s="2056"/>
      <c r="AG39" s="2056"/>
      <c r="AH39" s="2056"/>
      <c r="AI39" s="2056"/>
      <c r="AJ39" s="2057"/>
      <c r="AK39" s="2058" t="s">
        <v>503</v>
      </c>
      <c r="AL39" s="2061" t="s">
        <v>504</v>
      </c>
      <c r="AM39" s="1840"/>
    </row>
    <row r="40" spans="1:44" ht="33.75" customHeight="1">
      <c r="Q40" s="300"/>
      <c r="R40" s="300"/>
      <c r="S40" s="2054"/>
      <c r="T40" s="1925"/>
      <c r="U40" s="947"/>
      <c r="V40" s="1894" t="s">
        <v>505</v>
      </c>
      <c r="W40" s="2050" t="s">
        <v>506</v>
      </c>
      <c r="X40" s="1822" t="s">
        <v>507</v>
      </c>
      <c r="Y40" s="1821"/>
      <c r="Z40" s="1822" t="s">
        <v>526</v>
      </c>
      <c r="AA40" s="1827"/>
      <c r="AB40" s="1821"/>
      <c r="AC40" s="2059"/>
      <c r="AD40" s="1894" t="s">
        <v>505</v>
      </c>
      <c r="AE40" s="2050" t="s">
        <v>506</v>
      </c>
      <c r="AF40" s="1822" t="s">
        <v>507</v>
      </c>
      <c r="AG40" s="1821"/>
      <c r="AH40" s="1822" t="s">
        <v>508</v>
      </c>
      <c r="AI40" s="1827"/>
      <c r="AJ40" s="1821"/>
      <c r="AK40" s="2059"/>
      <c r="AL40" s="2062"/>
      <c r="AM40" s="1840"/>
    </row>
    <row r="41" spans="1:44" ht="33.7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Q41" s="300"/>
      <c r="R41" s="300"/>
      <c r="S41" s="2054"/>
      <c r="T41" s="1925"/>
      <c r="U41" s="216"/>
      <c r="V41" s="1950"/>
      <c r="W41" s="2051"/>
      <c r="X41" s="1138" t="s">
        <v>516</v>
      </c>
      <c r="Y41" s="1138" t="s">
        <v>517</v>
      </c>
      <c r="Z41" s="1265" t="s">
        <v>518</v>
      </c>
      <c r="AA41" s="1931" t="s">
        <v>519</v>
      </c>
      <c r="AB41" s="1945"/>
      <c r="AC41" s="2060"/>
      <c r="AD41" s="1950"/>
      <c r="AE41" s="2051"/>
      <c r="AF41" s="1138" t="s">
        <v>516</v>
      </c>
      <c r="AG41" s="1138" t="s">
        <v>517</v>
      </c>
      <c r="AH41" s="1265" t="s">
        <v>518</v>
      </c>
      <c r="AI41" s="1931" t="s">
        <v>519</v>
      </c>
      <c r="AJ41" s="1945"/>
      <c r="AK41" s="2060"/>
      <c r="AL41" s="2063"/>
      <c r="AM41" s="1840"/>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262">
        <f ca="1">OFFSET(V42,0,-1)+1</f>
        <v>3</v>
      </c>
      <c r="W42" s="1262"/>
      <c r="X42" s="1262">
        <f ca="1">OFFSET(X42,0,-1)+1</f>
        <v>1</v>
      </c>
      <c r="Y42" s="1262">
        <f ca="1">OFFSET(Y42,0,-1)+1</f>
        <v>2</v>
      </c>
      <c r="Z42" s="1262">
        <f ca="1">OFFSET(Z42,0,-1)+1</f>
        <v>3</v>
      </c>
      <c r="AA42" s="2052">
        <f ca="1">OFFSET(AA42,0,-1)+1</f>
        <v>4</v>
      </c>
      <c r="AB42" s="2052"/>
      <c r="AC42" s="1262">
        <f ca="1">OFFSET(AC42,0,-2)+1</f>
        <v>5</v>
      </c>
      <c r="AD42" s="1262">
        <f ca="1">OFFSET(AD42,0,-1)+1</f>
        <v>6</v>
      </c>
      <c r="AE42" s="1262"/>
      <c r="AF42" s="1262">
        <f ca="1">OFFSET(AF42,0,-1)+1</f>
        <v>1</v>
      </c>
      <c r="AG42" s="1262">
        <f ca="1">OFFSET(AG42,0,-1)+1</f>
        <v>2</v>
      </c>
      <c r="AH42" s="1262">
        <f ca="1">OFFSET(AH42,0,-1)+1</f>
        <v>3</v>
      </c>
      <c r="AI42" s="2052">
        <f ca="1">OFFSET(AI42,0,-1)+1</f>
        <v>4</v>
      </c>
      <c r="AJ42" s="2052"/>
      <c r="AK42" s="1262">
        <f ca="1">OFFSET(AK42,0,-2)+1</f>
        <v>5</v>
      </c>
      <c r="AL42" s="1164">
        <f ca="1">OFFSET(AL42,0,-1)</f>
        <v>5</v>
      </c>
      <c r="AM42" s="1262">
        <f ca="1">OFFSET(AM42,0,-1)+1</f>
        <v>6</v>
      </c>
      <c r="AN42" s="437"/>
      <c r="AO42" s="437"/>
      <c r="AP42" s="437"/>
      <c r="AQ42" s="437"/>
      <c r="AR42" s="437"/>
    </row>
    <row r="43" spans="1:44" ht="21" customHeight="1">
      <c r="A43" s="1289" t="s">
        <v>158</v>
      </c>
      <c r="B43" s="1289"/>
      <c r="C43" s="1289"/>
      <c r="D43" s="1289"/>
      <c r="E43" s="2042">
        <v>1</v>
      </c>
      <c r="F43" s="1289"/>
      <c r="G43" s="1289"/>
      <c r="H43" s="1289"/>
      <c r="I43" s="1289"/>
      <c r="J43" s="1289"/>
      <c r="K43" s="1289"/>
      <c r="L43" s="1290"/>
      <c r="M43" s="1291"/>
      <c r="N43" s="1291"/>
      <c r="O43" s="1291"/>
      <c r="P43" s="282"/>
      <c r="Q43" s="281"/>
      <c r="R43" s="276"/>
      <c r="S43" s="1263">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9" t="s">
        <v>158</v>
      </c>
      <c r="B44" s="1289" t="s">
        <v>159</v>
      </c>
      <c r="C44" s="1289"/>
      <c r="D44" s="1289"/>
      <c r="E44" s="2043"/>
      <c r="F44" s="2042">
        <v>1</v>
      </c>
      <c r="G44" s="1289"/>
      <c r="H44" s="1289"/>
      <c r="I44" s="1289"/>
      <c r="J44" s="1289"/>
      <c r="K44" s="1289"/>
      <c r="L44" s="1290"/>
      <c r="M44" s="1291"/>
      <c r="N44" s="1291"/>
      <c r="O44" s="1291"/>
      <c r="P44" s="1259"/>
      <c r="Q44" s="273"/>
      <c r="R44" s="274"/>
      <c r="S44" s="1263"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158</v>
      </c>
      <c r="B45" s="1289" t="s">
        <v>159</v>
      </c>
      <c r="C45" s="1289" t="s">
        <v>160</v>
      </c>
      <c r="D45" s="1289"/>
      <c r="E45" s="2043"/>
      <c r="F45" s="2043"/>
      <c r="G45" s="2042">
        <v>1</v>
      </c>
      <c r="H45" s="1289"/>
      <c r="I45" s="1289"/>
      <c r="J45" s="1289"/>
      <c r="K45" s="1289"/>
      <c r="L45" s="1290"/>
      <c r="M45" s="1291"/>
      <c r="N45" s="1291"/>
      <c r="O45" s="1291"/>
      <c r="P45" s="275"/>
      <c r="Q45" s="273"/>
      <c r="R45" s="274"/>
      <c r="S45" s="1263"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1" customHeight="1">
      <c r="A46" s="1289" t="s">
        <v>158</v>
      </c>
      <c r="B46" s="1289" t="s">
        <v>159</v>
      </c>
      <c r="C46" s="1289" t="s">
        <v>160</v>
      </c>
      <c r="D46" s="1289" t="s">
        <v>161</v>
      </c>
      <c r="E46" s="2043"/>
      <c r="F46" s="2043"/>
      <c r="G46" s="2043"/>
      <c r="H46" s="2042">
        <v>1</v>
      </c>
      <c r="I46" s="1289"/>
      <c r="J46" s="1289"/>
      <c r="K46" s="1289"/>
      <c r="L46" s="1290"/>
      <c r="M46" s="1291"/>
      <c r="N46" s="1291"/>
      <c r="O46" s="1291"/>
      <c r="P46" s="275"/>
      <c r="Q46" s="273"/>
      <c r="R46" s="274"/>
      <c r="S46" s="1263"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ht="47.25" customHeight="1">
      <c r="A47" s="1289" t="s">
        <v>158</v>
      </c>
      <c r="B47" s="1289" t="s">
        <v>159</v>
      </c>
      <c r="C47" s="1289" t="s">
        <v>160</v>
      </c>
      <c r="D47" s="1289" t="s">
        <v>161</v>
      </c>
      <c r="E47" s="2043"/>
      <c r="F47" s="2043"/>
      <c r="G47" s="2043"/>
      <c r="H47" s="2043"/>
      <c r="I47" s="2044" t="str">
        <f>S46&amp;".1"</f>
        <v>....1</v>
      </c>
      <c r="J47" s="1289"/>
      <c r="K47" s="1289"/>
      <c r="L47" s="1290" t="s">
        <v>478</v>
      </c>
      <c r="P47" s="1961">
        <v>1</v>
      </c>
      <c r="Q47" s="1258"/>
      <c r="R47" s="277"/>
      <c r="S47" s="1263" t="str">
        <f>$I47</f>
        <v>....1</v>
      </c>
      <c r="T47" s="200" t="s">
        <v>479</v>
      </c>
      <c r="U47" s="214"/>
      <c r="V47" s="2030"/>
      <c r="W47" s="2031"/>
      <c r="X47" s="2031"/>
      <c r="Y47" s="2031"/>
      <c r="Z47" s="2031"/>
      <c r="AA47" s="2031"/>
      <c r="AB47" s="2031"/>
      <c r="AC47" s="2032"/>
      <c r="AD47" s="2030"/>
      <c r="AE47" s="2031"/>
      <c r="AF47" s="2031"/>
      <c r="AG47" s="2031"/>
      <c r="AH47" s="2031"/>
      <c r="AI47" s="2031"/>
      <c r="AJ47" s="2031"/>
      <c r="AK47" s="2031"/>
      <c r="AL47" s="2032"/>
      <c r="AM47" s="1187" t="s">
        <v>480</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89" t="s">
        <v>158</v>
      </c>
      <c r="B48" s="1289" t="s">
        <v>159</v>
      </c>
      <c r="C48" s="1289" t="s">
        <v>160</v>
      </c>
      <c r="D48" s="1289" t="s">
        <v>161</v>
      </c>
      <c r="E48" s="2043"/>
      <c r="F48" s="2043"/>
      <c r="G48" s="2043"/>
      <c r="H48" s="2043"/>
      <c r="I48" s="2045"/>
      <c r="J48" s="2044" t="str">
        <f>I47&amp;".1"</f>
        <v>....1.1</v>
      </c>
      <c r="K48" s="1289"/>
      <c r="L48" s="1290" t="s">
        <v>481</v>
      </c>
      <c r="P48" s="1961"/>
      <c r="Q48" s="1961">
        <v>1</v>
      </c>
      <c r="R48" s="278"/>
      <c r="S48" s="1263" t="str">
        <f>$J48</f>
        <v>....1.1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1" customHeight="1">
      <c r="A49" s="1289" t="s">
        <v>158</v>
      </c>
      <c r="B49" s="1289" t="s">
        <v>159</v>
      </c>
      <c r="C49" s="1289" t="s">
        <v>160</v>
      </c>
      <c r="D49" s="1289" t="s">
        <v>161</v>
      </c>
      <c r="E49" s="2043"/>
      <c r="F49" s="2043"/>
      <c r="G49" s="2043"/>
      <c r="H49" s="2043"/>
      <c r="I49" s="2045"/>
      <c r="J49" s="2045"/>
      <c r="K49" s="2044" t="str">
        <f>J48&amp;".1"</f>
        <v>....1.1.1</v>
      </c>
      <c r="L49" s="1290" t="s">
        <v>484</v>
      </c>
      <c r="P49" s="1961"/>
      <c r="Q49" s="1961"/>
      <c r="R49" s="278">
        <v>1</v>
      </c>
      <c r="S49" s="1263" t="str">
        <f>$K49</f>
        <v>....1.1.1</v>
      </c>
      <c r="T49" s="1274"/>
      <c r="U49" s="214"/>
      <c r="V49" s="669"/>
      <c r="W49" s="246"/>
      <c r="X49" s="669"/>
      <c r="Y49" s="1186"/>
      <c r="Z49" s="2046"/>
      <c r="AA49" s="1850" t="s">
        <v>58</v>
      </c>
      <c r="AB49" s="2046"/>
      <c r="AC49" s="1850" t="s">
        <v>58</v>
      </c>
      <c r="AD49" s="669"/>
      <c r="AE49" s="246"/>
      <c r="AF49" s="669"/>
      <c r="AG49" s="1186"/>
      <c r="AH49" s="2046"/>
      <c r="AI49" s="1850" t="s">
        <v>58</v>
      </c>
      <c r="AJ49" s="2048"/>
      <c r="AK49" s="1850" t="s">
        <v>58</v>
      </c>
      <c r="AL49" s="1275"/>
      <c r="AM49" s="2064" t="s">
        <v>485</v>
      </c>
      <c r="AN49" s="437" t="e">
        <f ca="1">STRCHECKDATE(V50:AL50)</f>
        <v>#NAME?</v>
      </c>
      <c r="AO49" s="426"/>
      <c r="AP49" s="426" t="str">
        <f t="shared" si="1"/>
        <v/>
      </c>
      <c r="AQ49" s="426"/>
      <c r="AR49" s="426"/>
    </row>
    <row r="50" spans="1:44" ht="0.75" customHeight="1">
      <c r="A50" s="1289" t="s">
        <v>158</v>
      </c>
      <c r="B50" s="1289" t="s">
        <v>159</v>
      </c>
      <c r="C50" s="1289" t="s">
        <v>160</v>
      </c>
      <c r="D50" s="1289" t="s">
        <v>161</v>
      </c>
      <c r="E50" s="2043"/>
      <c r="F50" s="2043"/>
      <c r="G50" s="2043"/>
      <c r="H50" s="2043"/>
      <c r="I50" s="2045"/>
      <c r="J50" s="2045"/>
      <c r="K50" s="2044"/>
      <c r="L50" s="1290"/>
      <c r="P50" s="1961"/>
      <c r="Q50" s="1961"/>
      <c r="R50" s="278"/>
      <c r="S50" s="1269"/>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158</v>
      </c>
      <c r="B51" s="1289" t="s">
        <v>159</v>
      </c>
      <c r="C51" s="1289" t="s">
        <v>160</v>
      </c>
      <c r="D51" s="1289" t="s">
        <v>161</v>
      </c>
      <c r="E51" s="2043"/>
      <c r="F51" s="2043"/>
      <c r="G51" s="2043"/>
      <c r="H51" s="2043"/>
      <c r="I51" s="2045"/>
      <c r="J51" s="2044"/>
      <c r="K51" s="1289"/>
      <c r="L51" s="1290"/>
      <c r="P51" s="1961"/>
      <c r="Q51" s="1961"/>
      <c r="R51" s="277"/>
      <c r="S51" s="1208"/>
      <c r="T51" s="203"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158</v>
      </c>
      <c r="B52" s="1289" t="s">
        <v>159</v>
      </c>
      <c r="C52" s="1289" t="s">
        <v>160</v>
      </c>
      <c r="D52" s="1289" t="s">
        <v>161</v>
      </c>
      <c r="E52" s="2043"/>
      <c r="F52" s="2043"/>
      <c r="G52" s="2043"/>
      <c r="H52" s="2043"/>
      <c r="I52" s="2044"/>
      <c r="J52" s="1289"/>
      <c r="K52" s="1289"/>
      <c r="L52" s="1290"/>
      <c r="P52" s="1961"/>
      <c r="Q52" s="1258"/>
      <c r="R52" s="277"/>
      <c r="S52" s="1208"/>
      <c r="T52" s="202"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14.25" customHeight="1">
      <c r="A53" s="1289" t="s">
        <v>158</v>
      </c>
      <c r="B53" s="1289" t="s">
        <v>159</v>
      </c>
      <c r="C53" s="1289" t="s">
        <v>160</v>
      </c>
      <c r="D53" s="1289" t="s">
        <v>161</v>
      </c>
      <c r="E53" s="2043"/>
      <c r="F53" s="2043"/>
      <c r="G53" s="2043"/>
      <c r="H53" s="2042"/>
      <c r="I53" s="1289"/>
      <c r="J53" s="1289"/>
      <c r="K53" s="1289"/>
      <c r="L53" s="1290"/>
      <c r="M53" s="1291"/>
      <c r="N53" s="1291"/>
      <c r="O53" s="462"/>
      <c r="P53" s="281"/>
      <c r="Q53" s="299"/>
      <c r="R53" s="276"/>
      <c r="S53" s="1208"/>
      <c r="T53" s="288" t="s">
        <v>488</v>
      </c>
      <c r="U53" s="291"/>
      <c r="V53" s="291"/>
      <c r="W53" s="291"/>
      <c r="X53" s="291"/>
      <c r="Y53" s="291"/>
      <c r="Z53" s="291"/>
      <c r="AA53" s="291"/>
      <c r="AB53" s="291"/>
      <c r="AC53" s="290"/>
      <c r="AD53" s="291"/>
      <c r="AE53" s="291"/>
      <c r="AF53" s="291"/>
      <c r="AG53" s="291"/>
      <c r="AH53" s="291"/>
      <c r="AI53" s="291"/>
      <c r="AJ53" s="291"/>
      <c r="AK53" s="290"/>
      <c r="AL53" s="291"/>
      <c r="AM53" s="217"/>
      <c r="AO53" s="426"/>
      <c r="AP53" s="426" t="str">
        <f t="shared" si="1"/>
        <v>Добавить схему подключения</v>
      </c>
      <c r="AQ53" s="426"/>
      <c r="AR53" s="426"/>
    </row>
    <row r="54" spans="1:44" s="1567" customFormat="1" ht="0.75" customHeight="1">
      <c r="A54" s="1270" t="s">
        <v>158</v>
      </c>
      <c r="B54" s="1270" t="s">
        <v>159</v>
      </c>
      <c r="C54" s="1270" t="s">
        <v>160</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75" customHeight="1">
      <c r="A55" s="1270" t="s">
        <v>158</v>
      </c>
      <c r="B55" s="1270" t="s">
        <v>159</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75" customHeight="1">
      <c r="A56" s="1270" t="s">
        <v>158</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0.7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27" hidden="1" customHeight="1">
      <c r="O59" s="462"/>
      <c r="S59" s="1174" t="s">
        <v>520</v>
      </c>
      <c r="T59" s="2041" t="s">
        <v>527</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62.25" hidden="1" customHeight="1">
      <c r="O60" s="462"/>
      <c r="T60" s="2041" t="s">
        <v>522</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14.25" hidden="1" customHeight="1">
      <c r="O61" s="462"/>
    </row>
    <row r="62" spans="1:44" ht="18" hidden="1" customHeight="1">
      <c r="O62" s="462"/>
      <c r="S62" s="1174" t="s">
        <v>520</v>
      </c>
      <c r="T62" s="2041" t="s">
        <v>523</v>
      </c>
      <c r="U62" s="2041"/>
      <c r="V62" s="2041"/>
      <c r="W62" s="2041"/>
      <c r="X62" s="2041"/>
      <c r="Y62" s="2041"/>
      <c r="Z62" s="2041"/>
      <c r="AA62" s="2041"/>
      <c r="AB62" s="2041"/>
      <c r="AC62" s="2041"/>
      <c r="AD62" s="2041"/>
      <c r="AE62" s="2041"/>
      <c r="AF62" s="2041"/>
      <c r="AG62" s="2041"/>
      <c r="AH62" s="2041"/>
      <c r="AI62" s="2041"/>
      <c r="AJ62" s="2041"/>
      <c r="AK62" s="2041"/>
      <c r="AL62" s="2041"/>
      <c r="AM62" s="2041"/>
    </row>
    <row r="63" spans="1:44" ht="18" hidden="1" customHeight="1">
      <c r="O63" s="462"/>
      <c r="T63" s="2041" t="s">
        <v>524</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27.75" hidden="1" customHeight="1">
      <c r="O64" s="462"/>
      <c r="S64" s="1174"/>
      <c r="T64" s="2041" t="s">
        <v>525</v>
      </c>
      <c r="U64" s="2041"/>
      <c r="V64" s="2041"/>
      <c r="W64" s="2041"/>
      <c r="X64" s="2041"/>
      <c r="Y64" s="2041"/>
      <c r="Z64" s="2041"/>
      <c r="AA64" s="2041"/>
      <c r="AB64" s="2041"/>
      <c r="AC64" s="2041"/>
      <c r="AD64" s="2041"/>
      <c r="AE64" s="2041"/>
      <c r="AF64" s="2041"/>
      <c r="AG64" s="2041"/>
      <c r="AH64" s="2041"/>
      <c r="AI64" s="2041"/>
      <c r="AJ64" s="2041"/>
      <c r="AK64" s="2041"/>
      <c r="AL64" s="2041"/>
      <c r="AM64" s="2041"/>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2" style="1560" customWidth="1"/>
    <col min="21" max="22" width="9.765625E-2" style="1560" customWidth="1"/>
    <col min="23" max="23" width="24.69921875" style="1560" hidden="1" customWidth="1"/>
    <col min="24" max="25" width="9.765625E-2"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9.765625E-2" style="1560" customWidth="1"/>
    <col min="31" max="31" width="24.69921875" style="1560" customWidth="1"/>
    <col min="32" max="33" width="9.765625E-2"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63"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59"/>
      <c r="Q3" s="273"/>
      <c r="R3" s="274"/>
      <c r="S3" s="1263"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63"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63"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47.25" hidden="1" customHeight="1">
      <c r="A6" s="1289"/>
      <c r="B6" s="1289"/>
      <c r="C6" s="1289"/>
      <c r="D6" s="1289"/>
      <c r="E6" s="2043"/>
      <c r="F6" s="2043"/>
      <c r="G6" s="2043"/>
      <c r="H6" s="2043"/>
      <c r="I6" s="2044" t="e">
        <f>S5&amp;".1"</f>
        <v>#N/A</v>
      </c>
      <c r="J6" s="1289"/>
      <c r="K6" s="1289"/>
      <c r="L6" s="1290" t="s">
        <v>478</v>
      </c>
      <c r="M6" s="462"/>
      <c r="P6" s="1961">
        <v>1</v>
      </c>
      <c r="Q6" s="1258"/>
      <c r="R6" s="277"/>
      <c r="S6" s="1263" t="e">
        <f>$I6</f>
        <v>#N/A</v>
      </c>
      <c r="T6" s="200" t="s">
        <v>479</v>
      </c>
      <c r="U6" s="214"/>
      <c r="V6" s="2030"/>
      <c r="W6" s="2031"/>
      <c r="X6" s="2031"/>
      <c r="Y6" s="2031"/>
      <c r="Z6" s="2031"/>
      <c r="AA6" s="2031"/>
      <c r="AB6" s="2031"/>
      <c r="AC6" s="2032"/>
      <c r="AD6" s="2030"/>
      <c r="AE6" s="2031"/>
      <c r="AF6" s="2031"/>
      <c r="AG6" s="2031"/>
      <c r="AH6" s="2031"/>
      <c r="AI6" s="2031"/>
      <c r="AJ6" s="2031"/>
      <c r="AK6" s="2031"/>
      <c r="AL6" s="2032"/>
      <c r="AM6" s="1187" t="s">
        <v>480</v>
      </c>
      <c r="AO6" s="426"/>
      <c r="AP6" s="426" t="str">
        <f t="shared" si="0"/>
        <v>Схема подключения теплопотребляющей установки к коллектору источника тепловой энергии</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63"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63" t="e">
        <f>$K8</f>
        <v>#N/A</v>
      </c>
      <c r="T8" s="1274"/>
      <c r="U8" s="214"/>
      <c r="V8" s="246"/>
      <c r="W8" s="669"/>
      <c r="X8" s="246"/>
      <c r="Y8" s="313"/>
      <c r="Z8" s="2046"/>
      <c r="AA8" s="1850" t="s">
        <v>58</v>
      </c>
      <c r="AB8" s="2046"/>
      <c r="AC8" s="1850" t="s">
        <v>58</v>
      </c>
      <c r="AD8" s="246"/>
      <c r="AE8" s="669"/>
      <c r="AF8" s="246"/>
      <c r="AG8" s="313"/>
      <c r="AH8" s="2046"/>
      <c r="AI8" s="1850" t="s">
        <v>58</v>
      </c>
      <c r="AJ8" s="2046"/>
      <c r="AK8" s="1850" t="s">
        <v>58</v>
      </c>
      <c r="AL8" s="246"/>
      <c r="AM8" s="2064" t="s">
        <v>485</v>
      </c>
      <c r="AN8" s="437" t="e">
        <f ca="1">STRCHECKDATE(V9:AL9)</f>
        <v>#NAME?</v>
      </c>
      <c r="AO8" s="426"/>
      <c r="AP8" s="426" t="str">
        <f t="shared" si="0"/>
        <v/>
      </c>
      <c r="AQ8" s="426"/>
      <c r="AR8" s="426"/>
    </row>
    <row r="9" spans="1:44" ht="0.75" hidden="1" customHeight="1">
      <c r="A9" s="1289"/>
      <c r="B9" s="1289"/>
      <c r="C9" s="1289"/>
      <c r="D9" s="1289"/>
      <c r="E9" s="2043"/>
      <c r="F9" s="2043"/>
      <c r="G9" s="2043"/>
      <c r="H9" s="2043"/>
      <c r="I9" s="2045"/>
      <c r="J9" s="2045"/>
      <c r="K9" s="2044"/>
      <c r="L9" s="1290"/>
      <c r="M9" s="462"/>
      <c r="N9" s="1292"/>
      <c r="O9" s="1292"/>
      <c r="P9" s="1961"/>
      <c r="Q9" s="1961"/>
      <c r="R9" s="278"/>
      <c r="S9" s="1269"/>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3"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5" hidden="1" customHeight="1">
      <c r="A11" s="1289"/>
      <c r="B11" s="1289"/>
      <c r="C11" s="1289"/>
      <c r="D11" s="1289"/>
      <c r="E11" s="2043"/>
      <c r="F11" s="2043"/>
      <c r="G11" s="2043"/>
      <c r="H11" s="2043"/>
      <c r="I11" s="2044"/>
      <c r="J11" s="1289"/>
      <c r="K11" s="1289"/>
      <c r="L11" s="1290"/>
      <c r="M11" s="462"/>
      <c r="P11" s="1961"/>
      <c r="Q11" s="1258"/>
      <c r="R11" s="277"/>
      <c r="S11" s="1208"/>
      <c r="T11" s="202"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208"/>
      <c r="T12" s="288" t="s">
        <v>488</v>
      </c>
      <c r="U12" s="291"/>
      <c r="V12" s="291"/>
      <c r="W12" s="291"/>
      <c r="X12" s="291"/>
      <c r="Y12" s="291"/>
      <c r="Z12" s="291"/>
      <c r="AA12" s="291"/>
      <c r="AB12" s="291"/>
      <c r="AC12" s="290"/>
      <c r="AD12" s="291"/>
      <c r="AE12" s="291"/>
      <c r="AF12" s="291"/>
      <c r="AG12" s="291"/>
      <c r="AH12" s="291"/>
      <c r="AI12" s="291"/>
      <c r="AJ12" s="291"/>
      <c r="AK12" s="290"/>
      <c r="AL12" s="291"/>
      <c r="AM12" s="217"/>
      <c r="AO12" s="426"/>
      <c r="AP12" s="426" t="str">
        <f t="shared" si="0"/>
        <v>Добавить схему подключения</v>
      </c>
      <c r="AQ12" s="426"/>
      <c r="AR12" s="426"/>
    </row>
    <row r="13" spans="1:44" s="1567" customFormat="1" ht="0.7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0.7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0.7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AD17" s="1286"/>
      <c r="AE17" s="1286"/>
      <c r="AF17" s="1286"/>
      <c r="AG17" s="1287"/>
      <c r="AH17" s="2040"/>
      <c r="AI17" s="2039" t="s">
        <v>58</v>
      </c>
      <c r="AJ17" s="2040"/>
      <c r="AK17" s="2039" t="s">
        <v>58</v>
      </c>
    </row>
    <row r="18" spans="1:44" ht="14.25" hidden="1" customHeight="1">
      <c r="AD18" s="1286"/>
      <c r="AE18" s="1286"/>
      <c r="AF18" s="1286"/>
      <c r="AG18" s="250" t="str">
        <f>AH17&amp;"-"&amp;AJ17</f>
        <v>-</v>
      </c>
      <c r="AH18" s="2039"/>
      <c r="AI18" s="2039"/>
      <c r="AJ18" s="2039"/>
      <c r="AK18" s="2039"/>
    </row>
    <row r="19" spans="1:44" ht="14.25" hidden="1" customHeight="1">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33.7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row>
    <row r="24" spans="1:44" ht="14.25" hidden="1" customHeight="1">
      <c r="O24" s="1290"/>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88.5" customHeight="1">
      <c r="Q26" s="300"/>
      <c r="R26" s="300"/>
      <c r="S26" s="20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18.7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267"/>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70"/>
      <c r="Y39" s="2070"/>
      <c r="Z39" s="2056"/>
      <c r="AA39" s="2056"/>
      <c r="AB39" s="2057"/>
      <c r="AC39" s="2058" t="s">
        <v>502</v>
      </c>
      <c r="AD39" s="2055" t="s">
        <v>501</v>
      </c>
      <c r="AE39" s="2056"/>
      <c r="AF39" s="2070"/>
      <c r="AG39" s="2070"/>
      <c r="AH39" s="2056"/>
      <c r="AI39" s="2056"/>
      <c r="AJ39" s="2057"/>
      <c r="AK39" s="2058" t="s">
        <v>503</v>
      </c>
      <c r="AL39" s="2061" t="s">
        <v>504</v>
      </c>
      <c r="AM39" s="1840"/>
    </row>
    <row r="40" spans="1:44" ht="23.25" customHeight="1">
      <c r="Q40" s="300"/>
      <c r="R40" s="300"/>
      <c r="S40" s="2054"/>
      <c r="T40" s="1925"/>
      <c r="U40" s="947"/>
      <c r="V40" s="2068" t="s">
        <v>505</v>
      </c>
      <c r="W40" s="1895" t="s">
        <v>506</v>
      </c>
      <c r="X40" s="1302" t="s">
        <v>507</v>
      </c>
      <c r="Y40" s="1302"/>
      <c r="Z40" s="1827" t="s">
        <v>508</v>
      </c>
      <c r="AA40" s="1827"/>
      <c r="AB40" s="1821"/>
      <c r="AC40" s="2059"/>
      <c r="AD40" s="2068" t="s">
        <v>505</v>
      </c>
      <c r="AE40" s="1895" t="s">
        <v>506</v>
      </c>
      <c r="AF40" s="1302" t="s">
        <v>507</v>
      </c>
      <c r="AG40" s="1302"/>
      <c r="AH40" s="1827" t="s">
        <v>508</v>
      </c>
      <c r="AI40" s="1827"/>
      <c r="AJ40" s="1821"/>
      <c r="AK40" s="2059"/>
      <c r="AL40" s="2062"/>
      <c r="AM40" s="1840"/>
    </row>
    <row r="41" spans="1:44" s="1195" customFormat="1" ht="23.2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M41" s="1288"/>
      <c r="N41" s="1288"/>
      <c r="O41" s="1288"/>
      <c r="P41" s="1255"/>
      <c r="Q41" s="300"/>
      <c r="R41" s="300"/>
      <c r="S41" s="2054"/>
      <c r="T41" s="1925"/>
      <c r="U41" s="216"/>
      <c r="V41" s="2069"/>
      <c r="W41" s="1900"/>
      <c r="X41" s="1299" t="s">
        <v>516</v>
      </c>
      <c r="Y41" s="1299" t="s">
        <v>517</v>
      </c>
      <c r="Z41" s="1261" t="s">
        <v>518</v>
      </c>
      <c r="AA41" s="1931" t="s">
        <v>519</v>
      </c>
      <c r="AB41" s="1945"/>
      <c r="AC41" s="2060"/>
      <c r="AD41" s="2069"/>
      <c r="AE41" s="1900"/>
      <c r="AF41" s="1299" t="s">
        <v>516</v>
      </c>
      <c r="AG41" s="1299" t="s">
        <v>517</v>
      </c>
      <c r="AH41" s="1261" t="s">
        <v>518</v>
      </c>
      <c r="AI41" s="1931" t="s">
        <v>519</v>
      </c>
      <c r="AJ41" s="1945"/>
      <c r="AK41" s="2060"/>
      <c r="AL41" s="2063"/>
      <c r="AM41" s="1840"/>
      <c r="AN41" s="437"/>
      <c r="AO41" s="426"/>
      <c r="AP41" s="426"/>
      <c r="AQ41" s="426"/>
      <c r="AR41" s="426"/>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262">
        <f ca="1">OFFSET(V42,0,-1)+1</f>
        <v>3</v>
      </c>
      <c r="W42" s="1262"/>
      <c r="X42" s="1268">
        <f ca="1">OFFSET(X42,0,-1)+1</f>
        <v>1</v>
      </c>
      <c r="Y42" s="1268">
        <f ca="1">OFFSET(Y42,0,-1)+1</f>
        <v>2</v>
      </c>
      <c r="Z42" s="1262">
        <f ca="1">OFFSET(Z42,0,-1)+1</f>
        <v>3</v>
      </c>
      <c r="AA42" s="2052">
        <f ca="1">OFFSET(AA42,0,-1)+1</f>
        <v>4</v>
      </c>
      <c r="AB42" s="2052"/>
      <c r="AC42" s="1262">
        <f ca="1">OFFSET(AC42,0,-2)+1</f>
        <v>5</v>
      </c>
      <c r="AD42" s="1262">
        <f ca="1">OFFSET(AD42,0,-1)+1</f>
        <v>6</v>
      </c>
      <c r="AE42" s="1262"/>
      <c r="AF42" s="1268">
        <f ca="1">OFFSET(AF42,0,-1)+1</f>
        <v>1</v>
      </c>
      <c r="AG42" s="1268">
        <f ca="1">OFFSET(AG42,0,-1)+1</f>
        <v>2</v>
      </c>
      <c r="AH42" s="1262">
        <f ca="1">OFFSET(AH42,0,-1)+1</f>
        <v>3</v>
      </c>
      <c r="AI42" s="2052">
        <f ca="1">OFFSET(AI42,0,-1)+1</f>
        <v>4</v>
      </c>
      <c r="AJ42" s="2052"/>
      <c r="AK42" s="1262">
        <f ca="1">OFFSET(AK42,0,-2)+1</f>
        <v>5</v>
      </c>
      <c r="AL42" s="1164">
        <f ca="1">OFFSET(AL42,0,-1)</f>
        <v>5</v>
      </c>
      <c r="AM42" s="1262">
        <f ca="1">OFFSET(AM42,0,-1)+1</f>
        <v>6</v>
      </c>
      <c r="AN42" s="437"/>
      <c r="AO42" s="437"/>
      <c r="AP42" s="437"/>
      <c r="AQ42" s="437"/>
      <c r="AR42" s="437"/>
    </row>
    <row r="43" spans="1:44" ht="21" customHeight="1">
      <c r="A43" s="1289" t="s">
        <v>188</v>
      </c>
      <c r="B43" s="1289"/>
      <c r="C43" s="1289"/>
      <c r="D43" s="1289"/>
      <c r="E43" s="2042">
        <v>1</v>
      </c>
      <c r="F43" s="1289"/>
      <c r="G43" s="1289"/>
      <c r="H43" s="1289"/>
      <c r="I43" s="1289"/>
      <c r="J43" s="1289"/>
      <c r="K43" s="1289"/>
      <c r="L43" s="1290"/>
      <c r="M43" s="1291"/>
      <c r="N43" s="1291"/>
      <c r="O43" s="1291"/>
      <c r="P43" s="282"/>
      <c r="Q43" s="281"/>
      <c r="R43" s="276"/>
      <c r="S43" s="1263">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9" t="s">
        <v>188</v>
      </c>
      <c r="B44" s="1289" t="s">
        <v>189</v>
      </c>
      <c r="C44" s="1289"/>
      <c r="D44" s="1289"/>
      <c r="E44" s="2043"/>
      <c r="F44" s="2042">
        <v>1</v>
      </c>
      <c r="G44" s="1289"/>
      <c r="H44" s="1289"/>
      <c r="I44" s="1289"/>
      <c r="J44" s="1289"/>
      <c r="K44" s="1289"/>
      <c r="L44" s="1290"/>
      <c r="M44" s="1291"/>
      <c r="N44" s="1291"/>
      <c r="O44" s="1291"/>
      <c r="P44" s="1259"/>
      <c r="Q44" s="273"/>
      <c r="R44" s="274"/>
      <c r="S44" s="1263"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188</v>
      </c>
      <c r="B45" s="1289" t="s">
        <v>189</v>
      </c>
      <c r="C45" s="1289" t="s">
        <v>190</v>
      </c>
      <c r="D45" s="1289"/>
      <c r="E45" s="2043"/>
      <c r="F45" s="2043"/>
      <c r="G45" s="2042">
        <v>1</v>
      </c>
      <c r="H45" s="1289"/>
      <c r="I45" s="1289"/>
      <c r="J45" s="1289"/>
      <c r="K45" s="1289"/>
      <c r="L45" s="1290"/>
      <c r="M45" s="1291"/>
      <c r="N45" s="1291"/>
      <c r="O45" s="1291"/>
      <c r="P45" s="275"/>
      <c r="Q45" s="273"/>
      <c r="R45" s="274"/>
      <c r="S45" s="1263"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1" customHeight="1">
      <c r="A46" s="1289" t="s">
        <v>188</v>
      </c>
      <c r="B46" s="1289" t="s">
        <v>189</v>
      </c>
      <c r="C46" s="1289" t="s">
        <v>190</v>
      </c>
      <c r="D46" s="1289" t="s">
        <v>191</v>
      </c>
      <c r="E46" s="2043"/>
      <c r="F46" s="2043"/>
      <c r="G46" s="2043"/>
      <c r="H46" s="2042">
        <v>1</v>
      </c>
      <c r="I46" s="1289"/>
      <c r="J46" s="1289"/>
      <c r="K46" s="1289"/>
      <c r="L46" s="1290"/>
      <c r="M46" s="1291"/>
      <c r="N46" s="1291"/>
      <c r="O46" s="1291"/>
      <c r="P46" s="275"/>
      <c r="Q46" s="273"/>
      <c r="R46" s="274"/>
      <c r="S46" s="1263"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ht="47.25" customHeight="1">
      <c r="A47" s="1289" t="s">
        <v>188</v>
      </c>
      <c r="B47" s="1289" t="s">
        <v>189</v>
      </c>
      <c r="C47" s="1289" t="s">
        <v>190</v>
      </c>
      <c r="D47" s="1289" t="s">
        <v>191</v>
      </c>
      <c r="E47" s="2043"/>
      <c r="F47" s="2043"/>
      <c r="G47" s="2043"/>
      <c r="H47" s="2043"/>
      <c r="I47" s="2044" t="str">
        <f>S46&amp;".1"</f>
        <v>....1</v>
      </c>
      <c r="J47" s="1289"/>
      <c r="K47" s="1289"/>
      <c r="L47" s="1290" t="s">
        <v>478</v>
      </c>
      <c r="P47" s="1961">
        <v>1</v>
      </c>
      <c r="Q47" s="1258"/>
      <c r="R47" s="277"/>
      <c r="S47" s="1263" t="str">
        <f>$I47</f>
        <v>....1</v>
      </c>
      <c r="T47" s="200" t="s">
        <v>479</v>
      </c>
      <c r="U47" s="214"/>
      <c r="V47" s="2030"/>
      <c r="W47" s="2031"/>
      <c r="X47" s="2031"/>
      <c r="Y47" s="2031"/>
      <c r="Z47" s="2031"/>
      <c r="AA47" s="2031"/>
      <c r="AB47" s="2031"/>
      <c r="AC47" s="2032"/>
      <c r="AD47" s="2030"/>
      <c r="AE47" s="2031"/>
      <c r="AF47" s="2031"/>
      <c r="AG47" s="2031"/>
      <c r="AH47" s="2031"/>
      <c r="AI47" s="2031"/>
      <c r="AJ47" s="2031"/>
      <c r="AK47" s="2031"/>
      <c r="AL47" s="2032"/>
      <c r="AM47" s="1187" t="s">
        <v>480</v>
      </c>
      <c r="AO47" s="426"/>
      <c r="AP47" s="426" t="str">
        <f t="shared" si="1"/>
        <v>Схема подключения теплопотребляющей установки к коллектору источника тепловой энергии</v>
      </c>
      <c r="AQ47" s="426"/>
      <c r="AR47" s="426"/>
    </row>
    <row r="48" spans="1:44" ht="21" customHeight="1">
      <c r="A48" s="1289" t="s">
        <v>188</v>
      </c>
      <c r="B48" s="1289" t="s">
        <v>189</v>
      </c>
      <c r="C48" s="1289" t="s">
        <v>190</v>
      </c>
      <c r="D48" s="1289" t="s">
        <v>191</v>
      </c>
      <c r="E48" s="2043"/>
      <c r="F48" s="2043"/>
      <c r="G48" s="2043"/>
      <c r="H48" s="2043"/>
      <c r="I48" s="2045"/>
      <c r="J48" s="2044" t="str">
        <f>I47&amp;".1"</f>
        <v>....1.1</v>
      </c>
      <c r="K48" s="1289"/>
      <c r="L48" s="1290" t="s">
        <v>481</v>
      </c>
      <c r="P48" s="1961"/>
      <c r="Q48" s="1961">
        <v>1</v>
      </c>
      <c r="R48" s="278"/>
      <c r="S48" s="1263" t="str">
        <f>$J48</f>
        <v>....1.1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1" customHeight="1">
      <c r="A49" s="1289" t="s">
        <v>188</v>
      </c>
      <c r="B49" s="1289" t="s">
        <v>189</v>
      </c>
      <c r="C49" s="1289" t="s">
        <v>190</v>
      </c>
      <c r="D49" s="1289" t="s">
        <v>191</v>
      </c>
      <c r="E49" s="2043"/>
      <c r="F49" s="2043"/>
      <c r="G49" s="2043"/>
      <c r="H49" s="2043"/>
      <c r="I49" s="2045"/>
      <c r="J49" s="2045"/>
      <c r="K49" s="2044" t="str">
        <f>J48&amp;".1"</f>
        <v>....1.1.1</v>
      </c>
      <c r="L49" s="1290" t="s">
        <v>484</v>
      </c>
      <c r="P49" s="1961"/>
      <c r="Q49" s="1961"/>
      <c r="R49" s="278">
        <v>1</v>
      </c>
      <c r="S49" s="1263" t="str">
        <f>$K49</f>
        <v>....1.1.1</v>
      </c>
      <c r="T49" s="1274"/>
      <c r="U49" s="214"/>
      <c r="V49" s="246"/>
      <c r="W49" s="669"/>
      <c r="X49" s="246"/>
      <c r="Y49" s="313"/>
      <c r="Z49" s="2046"/>
      <c r="AA49" s="1850" t="s">
        <v>58</v>
      </c>
      <c r="AB49" s="2046"/>
      <c r="AC49" s="1850" t="s">
        <v>58</v>
      </c>
      <c r="AD49" s="246"/>
      <c r="AE49" s="669"/>
      <c r="AF49" s="246"/>
      <c r="AG49" s="313"/>
      <c r="AH49" s="2046"/>
      <c r="AI49" s="1850" t="s">
        <v>58</v>
      </c>
      <c r="AJ49" s="2048"/>
      <c r="AK49" s="1850" t="s">
        <v>58</v>
      </c>
      <c r="AL49" s="1275"/>
      <c r="AM49" s="2064" t="s">
        <v>485</v>
      </c>
      <c r="AN49" s="437" t="e">
        <f ca="1">STRCHECKDATE(V50:AL50)</f>
        <v>#NAME?</v>
      </c>
      <c r="AO49" s="426"/>
      <c r="AP49" s="426" t="str">
        <f t="shared" si="1"/>
        <v/>
      </c>
      <c r="AQ49" s="426"/>
      <c r="AR49" s="426"/>
    </row>
    <row r="50" spans="1:44" ht="0.75" customHeight="1">
      <c r="A50" s="1289" t="s">
        <v>188</v>
      </c>
      <c r="B50" s="1289" t="s">
        <v>189</v>
      </c>
      <c r="C50" s="1289" t="s">
        <v>190</v>
      </c>
      <c r="D50" s="1289" t="s">
        <v>191</v>
      </c>
      <c r="E50" s="2043"/>
      <c r="F50" s="2043"/>
      <c r="G50" s="2043"/>
      <c r="H50" s="2043"/>
      <c r="I50" s="2045"/>
      <c r="J50" s="2045"/>
      <c r="K50" s="2044"/>
      <c r="L50" s="1290"/>
      <c r="P50" s="1961"/>
      <c r="Q50" s="1961"/>
      <c r="R50" s="278"/>
      <c r="S50" s="1269"/>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188</v>
      </c>
      <c r="B51" s="1289" t="s">
        <v>189</v>
      </c>
      <c r="C51" s="1289" t="s">
        <v>190</v>
      </c>
      <c r="D51" s="1289" t="s">
        <v>191</v>
      </c>
      <c r="E51" s="2043"/>
      <c r="F51" s="2043"/>
      <c r="G51" s="2043"/>
      <c r="H51" s="2043"/>
      <c r="I51" s="2045"/>
      <c r="J51" s="2044"/>
      <c r="K51" s="1289"/>
      <c r="L51" s="1290"/>
      <c r="P51" s="1961"/>
      <c r="Q51" s="1961"/>
      <c r="R51" s="277"/>
      <c r="S51" s="1208"/>
      <c r="T51" s="203"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188</v>
      </c>
      <c r="B52" s="1289" t="s">
        <v>189</v>
      </c>
      <c r="C52" s="1289" t="s">
        <v>190</v>
      </c>
      <c r="D52" s="1289" t="s">
        <v>191</v>
      </c>
      <c r="E52" s="2043"/>
      <c r="F52" s="2043"/>
      <c r="G52" s="2043"/>
      <c r="H52" s="2043"/>
      <c r="I52" s="2044"/>
      <c r="J52" s="1289"/>
      <c r="K52" s="1289"/>
      <c r="L52" s="1290"/>
      <c r="P52" s="1961"/>
      <c r="Q52" s="1258"/>
      <c r="R52" s="277"/>
      <c r="S52" s="1208"/>
      <c r="T52" s="202"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14.25" customHeight="1">
      <c r="A53" s="1289" t="s">
        <v>188</v>
      </c>
      <c r="B53" s="1289" t="s">
        <v>189</v>
      </c>
      <c r="C53" s="1289" t="s">
        <v>190</v>
      </c>
      <c r="D53" s="1289" t="s">
        <v>191</v>
      </c>
      <c r="E53" s="2043"/>
      <c r="F53" s="2043"/>
      <c r="G53" s="2043"/>
      <c r="H53" s="2042"/>
      <c r="I53" s="1289"/>
      <c r="J53" s="1289"/>
      <c r="K53" s="1289"/>
      <c r="L53" s="1290"/>
      <c r="M53" s="1291"/>
      <c r="N53" s="1291"/>
      <c r="O53" s="462"/>
      <c r="P53" s="281"/>
      <c r="Q53" s="299"/>
      <c r="R53" s="276"/>
      <c r="S53" s="1208"/>
      <c r="T53" s="288" t="s">
        <v>488</v>
      </c>
      <c r="U53" s="291"/>
      <c r="V53" s="291"/>
      <c r="W53" s="291"/>
      <c r="X53" s="291"/>
      <c r="Y53" s="291"/>
      <c r="Z53" s="291"/>
      <c r="AA53" s="291"/>
      <c r="AB53" s="291"/>
      <c r="AC53" s="290"/>
      <c r="AD53" s="291"/>
      <c r="AE53" s="291"/>
      <c r="AF53" s="291"/>
      <c r="AG53" s="291"/>
      <c r="AH53" s="291"/>
      <c r="AI53" s="291"/>
      <c r="AJ53" s="291"/>
      <c r="AK53" s="290"/>
      <c r="AL53" s="291"/>
      <c r="AM53" s="217"/>
      <c r="AO53" s="426"/>
      <c r="AP53" s="426" t="str">
        <f t="shared" si="1"/>
        <v>Добавить схему подключения</v>
      </c>
      <c r="AQ53" s="426"/>
      <c r="AR53" s="426"/>
    </row>
    <row r="54" spans="1:44" s="1567" customFormat="1" ht="0.75" customHeight="1">
      <c r="A54" s="1270" t="s">
        <v>188</v>
      </c>
      <c r="B54" s="1270" t="s">
        <v>189</v>
      </c>
      <c r="C54" s="1270" t="s">
        <v>190</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75" customHeight="1">
      <c r="A55" s="1270" t="s">
        <v>188</v>
      </c>
      <c r="B55" s="1270" t="s">
        <v>189</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75" customHeight="1">
      <c r="A56" s="1270" t="s">
        <v>188</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0.7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27" hidden="1" customHeight="1">
      <c r="O59" s="462"/>
      <c r="S59" s="1174" t="s">
        <v>520</v>
      </c>
      <c r="T59" s="2041" t="s">
        <v>527</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75" hidden="1" customHeight="1">
      <c r="O60" s="462"/>
      <c r="T60" s="2041" t="s">
        <v>522</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14.25" hidden="1" customHeight="1">
      <c r="O61" s="462"/>
    </row>
    <row r="62" spans="1:44" ht="18" hidden="1" customHeight="1">
      <c r="O62" s="462"/>
      <c r="S62" s="1174" t="s">
        <v>520</v>
      </c>
      <c r="T62" s="2041" t="s">
        <v>523</v>
      </c>
      <c r="U62" s="2041"/>
      <c r="V62" s="2041"/>
      <c r="W62" s="2041"/>
      <c r="X62" s="2041"/>
      <c r="Y62" s="2041"/>
      <c r="Z62" s="2041"/>
      <c r="AA62" s="2041"/>
      <c r="AB62" s="2041"/>
      <c r="AC62" s="2041"/>
      <c r="AD62" s="2041"/>
      <c r="AE62" s="2041"/>
      <c r="AF62" s="2041"/>
      <c r="AG62" s="2041"/>
      <c r="AH62" s="2041"/>
      <c r="AI62" s="2041"/>
      <c r="AJ62" s="2041"/>
      <c r="AK62" s="2041"/>
      <c r="AL62" s="2041"/>
      <c r="AM62" s="2041"/>
    </row>
    <row r="63" spans="1:44" ht="18" hidden="1" customHeight="1">
      <c r="O63" s="462"/>
      <c r="T63" s="2041" t="s">
        <v>524</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38.25" hidden="1" customHeight="1">
      <c r="O64" s="462"/>
      <c r="S64" s="1174"/>
      <c r="T64" s="2041" t="s">
        <v>525</v>
      </c>
      <c r="U64" s="2041"/>
      <c r="V64" s="2041"/>
      <c r="W64" s="2041"/>
      <c r="X64" s="2041"/>
      <c r="Y64" s="2041"/>
      <c r="Z64" s="2041"/>
      <c r="AA64" s="2041"/>
      <c r="AB64" s="2041"/>
      <c r="AC64" s="2041"/>
      <c r="AD64" s="2041"/>
      <c r="AE64" s="2041"/>
      <c r="AF64" s="2041"/>
      <c r="AG64" s="2041"/>
      <c r="AH64" s="2041"/>
      <c r="AI64" s="2041"/>
      <c r="AJ64" s="2041"/>
      <c r="AK64" s="2041"/>
      <c r="AL64" s="2041"/>
      <c r="AM64" s="2041"/>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hidden="1" customWidth="1"/>
    <col min="17" max="18" width="3.69921875" style="265" customWidth="1"/>
    <col min="19" max="19" width="12.69921875" style="1795" customWidth="1"/>
    <col min="20" max="20" width="32"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69921875"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63"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59"/>
      <c r="Q3" s="273"/>
      <c r="R3" s="274"/>
      <c r="S3" s="1263"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63"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63"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14.25" hidden="1" customHeight="1">
      <c r="A6" s="1289"/>
      <c r="B6" s="1289"/>
      <c r="C6" s="1289"/>
      <c r="D6" s="1289"/>
      <c r="E6" s="2043"/>
      <c r="F6" s="2043"/>
      <c r="G6" s="2043"/>
      <c r="H6" s="2043"/>
      <c r="I6" s="2044" t="e">
        <f>S5&amp;".1"</f>
        <v>#N/A</v>
      </c>
      <c r="J6" s="1289"/>
      <c r="K6" s="1289"/>
      <c r="L6" s="1290" t="s">
        <v>478</v>
      </c>
      <c r="M6" s="462"/>
      <c r="P6" s="1961">
        <v>1</v>
      </c>
      <c r="Q6" s="1258"/>
      <c r="R6" s="277"/>
      <c r="S6" s="958"/>
      <c r="T6" s="1309"/>
      <c r="U6" s="1310"/>
      <c r="V6" s="2071"/>
      <c r="W6" s="2072"/>
      <c r="X6" s="2072"/>
      <c r="Y6" s="2072"/>
      <c r="Z6" s="2072"/>
      <c r="AA6" s="2072"/>
      <c r="AB6" s="2072"/>
      <c r="AC6" s="2073"/>
      <c r="AD6" s="2071"/>
      <c r="AE6" s="2072"/>
      <c r="AF6" s="2072"/>
      <c r="AG6" s="2072"/>
      <c r="AH6" s="2072"/>
      <c r="AI6" s="2072"/>
      <c r="AJ6" s="2072"/>
      <c r="AK6" s="2072"/>
      <c r="AL6" s="2073"/>
      <c r="AM6" s="1311"/>
      <c r="AO6" s="426"/>
      <c r="AP6" s="426" t="str">
        <f t="shared" si="0"/>
        <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63"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63" t="e">
        <f>$K8</f>
        <v>#N/A</v>
      </c>
      <c r="T8" s="1274"/>
      <c r="U8" s="214"/>
      <c r="V8" s="669"/>
      <c r="W8" s="246"/>
      <c r="X8" s="669"/>
      <c r="Y8" s="1186"/>
      <c r="Z8" s="2046"/>
      <c r="AA8" s="1850" t="s">
        <v>58</v>
      </c>
      <c r="AB8" s="2046"/>
      <c r="AC8" s="1850" t="s">
        <v>58</v>
      </c>
      <c r="AD8" s="669"/>
      <c r="AE8" s="246"/>
      <c r="AF8" s="669"/>
      <c r="AG8" s="1186"/>
      <c r="AH8" s="2046"/>
      <c r="AI8" s="1850" t="s">
        <v>58</v>
      </c>
      <c r="AJ8" s="2046"/>
      <c r="AK8" s="1850" t="s">
        <v>58</v>
      </c>
      <c r="AL8" s="246"/>
      <c r="AM8" s="2064" t="s">
        <v>485</v>
      </c>
      <c r="AN8" s="437" t="e">
        <f ca="1">STRCHECKDATE(V9:AL9)</f>
        <v>#NAME?</v>
      </c>
      <c r="AO8" s="426"/>
      <c r="AP8" s="426" t="str">
        <f t="shared" si="0"/>
        <v/>
      </c>
      <c r="AQ8" s="426"/>
      <c r="AR8" s="426"/>
    </row>
    <row r="9" spans="1:44" ht="0.75" hidden="1" customHeight="1">
      <c r="A9" s="1289"/>
      <c r="B9" s="1289"/>
      <c r="C9" s="1289"/>
      <c r="D9" s="1289"/>
      <c r="E9" s="2043"/>
      <c r="F9" s="2043"/>
      <c r="G9" s="2043"/>
      <c r="H9" s="2043"/>
      <c r="I9" s="2045"/>
      <c r="J9" s="2045"/>
      <c r="K9" s="2044"/>
      <c r="L9" s="1290"/>
      <c r="M9" s="462"/>
      <c r="N9" s="1292"/>
      <c r="O9" s="1292"/>
      <c r="P9" s="1961"/>
      <c r="Q9" s="1961"/>
      <c r="R9" s="278"/>
      <c r="S9" s="1269"/>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2"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5" hidden="1" customHeight="1">
      <c r="A11" s="1289"/>
      <c r="B11" s="1289"/>
      <c r="C11" s="1289"/>
      <c r="D11" s="1289"/>
      <c r="E11" s="2043"/>
      <c r="F11" s="2043"/>
      <c r="G11" s="2043"/>
      <c r="H11" s="2043"/>
      <c r="I11" s="2044"/>
      <c r="J11" s="1289"/>
      <c r="K11" s="1289"/>
      <c r="L11" s="1290"/>
      <c r="M11" s="462"/>
      <c r="P11" s="1961"/>
      <c r="Q11" s="1258"/>
      <c r="R11" s="277"/>
      <c r="S11" s="1208"/>
      <c r="T11" s="288"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26"/>
      <c r="AP12" s="426" t="str">
        <f t="shared" si="0"/>
        <v/>
      </c>
      <c r="AQ12" s="426"/>
      <c r="AR12" s="426"/>
    </row>
    <row r="13" spans="1:44" s="1567" customFormat="1" ht="0.7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0.7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0.7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AD17" s="1286"/>
      <c r="AE17" s="1286"/>
      <c r="AF17" s="1286"/>
      <c r="AG17" s="1287"/>
      <c r="AH17" s="2040"/>
      <c r="AI17" s="2039" t="s">
        <v>58</v>
      </c>
      <c r="AJ17" s="2040"/>
      <c r="AK17" s="2039" t="s">
        <v>58</v>
      </c>
    </row>
    <row r="18" spans="1:44" ht="14.25" hidden="1" customHeight="1">
      <c r="AD18" s="1286"/>
      <c r="AE18" s="1286"/>
      <c r="AF18" s="1286"/>
      <c r="AG18" s="250" t="str">
        <f>AH17&amp;"-"&amp;AJ17</f>
        <v>-</v>
      </c>
      <c r="AH18" s="2039"/>
      <c r="AI18" s="2039"/>
      <c r="AJ18" s="2039"/>
      <c r="AK18" s="2039"/>
    </row>
    <row r="19" spans="1:44" ht="14.25" hidden="1" customHeight="1">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14.2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row>
    <row r="24" spans="1:44" ht="14.25" hidden="1" customHeight="1">
      <c r="O24" s="1290"/>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64.5" customHeight="1">
      <c r="Q26" s="300"/>
      <c r="R26" s="300"/>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18.7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267"/>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56"/>
      <c r="Y39" s="2056"/>
      <c r="Z39" s="2056"/>
      <c r="AA39" s="2056"/>
      <c r="AB39" s="2057"/>
      <c r="AC39" s="2058" t="s">
        <v>502</v>
      </c>
      <c r="AD39" s="2055" t="s">
        <v>501</v>
      </c>
      <c r="AE39" s="2056"/>
      <c r="AF39" s="2056"/>
      <c r="AG39" s="2056"/>
      <c r="AH39" s="2056"/>
      <c r="AI39" s="2056"/>
      <c r="AJ39" s="2057"/>
      <c r="AK39" s="2058" t="s">
        <v>503</v>
      </c>
      <c r="AL39" s="2061" t="s">
        <v>504</v>
      </c>
      <c r="AM39" s="1840"/>
    </row>
    <row r="40" spans="1:44" ht="33.75" customHeight="1">
      <c r="Q40" s="300"/>
      <c r="R40" s="300"/>
      <c r="S40" s="2054"/>
      <c r="T40" s="1925"/>
      <c r="U40" s="947"/>
      <c r="V40" s="1894" t="s">
        <v>505</v>
      </c>
      <c r="W40" s="2050"/>
      <c r="X40" s="1822" t="s">
        <v>507</v>
      </c>
      <c r="Y40" s="1821"/>
      <c r="Z40" s="1822" t="s">
        <v>508</v>
      </c>
      <c r="AA40" s="1827"/>
      <c r="AB40" s="1821"/>
      <c r="AC40" s="2059"/>
      <c r="AD40" s="1894" t="s">
        <v>505</v>
      </c>
      <c r="AE40" s="2050"/>
      <c r="AF40" s="1822" t="s">
        <v>507</v>
      </c>
      <c r="AG40" s="1821"/>
      <c r="AH40" s="1822" t="s">
        <v>508</v>
      </c>
      <c r="AI40" s="1827"/>
      <c r="AJ40" s="1821"/>
      <c r="AK40" s="2059"/>
      <c r="AL40" s="2062"/>
      <c r="AM40" s="1840"/>
    </row>
    <row r="41" spans="1:44" ht="33.7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Q41" s="300"/>
      <c r="R41" s="300"/>
      <c r="S41" s="2054"/>
      <c r="T41" s="1925"/>
      <c r="U41" s="216"/>
      <c r="V41" s="1950"/>
      <c r="W41" s="2051"/>
      <c r="X41" s="1138" t="s">
        <v>516</v>
      </c>
      <c r="Y41" s="1138" t="s">
        <v>517</v>
      </c>
      <c r="Z41" s="1265" t="s">
        <v>518</v>
      </c>
      <c r="AA41" s="1931" t="s">
        <v>519</v>
      </c>
      <c r="AB41" s="1945"/>
      <c r="AC41" s="2060"/>
      <c r="AD41" s="1950"/>
      <c r="AE41" s="2051"/>
      <c r="AF41" s="1138" t="s">
        <v>516</v>
      </c>
      <c r="AG41" s="1138" t="s">
        <v>517</v>
      </c>
      <c r="AH41" s="1265" t="s">
        <v>518</v>
      </c>
      <c r="AI41" s="1931" t="s">
        <v>519</v>
      </c>
      <c r="AJ41" s="1945"/>
      <c r="AK41" s="2060"/>
      <c r="AL41" s="2063"/>
      <c r="AM41" s="1840"/>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262">
        <f ca="1">OFFSET(V42,0,-1)+1</f>
        <v>3</v>
      </c>
      <c r="W42" s="1262"/>
      <c r="X42" s="1262">
        <f ca="1">OFFSET(X42,0,-1)+1</f>
        <v>1</v>
      </c>
      <c r="Y42" s="1262">
        <f ca="1">OFFSET(Y42,0,-1)+1</f>
        <v>2</v>
      </c>
      <c r="Z42" s="1262">
        <f ca="1">OFFSET(Z42,0,-1)+1</f>
        <v>3</v>
      </c>
      <c r="AA42" s="2052">
        <f ca="1">OFFSET(AA42,0,-1)+1</f>
        <v>4</v>
      </c>
      <c r="AB42" s="2052"/>
      <c r="AC42" s="1262">
        <f ca="1">OFFSET(AC42,0,-2)+1</f>
        <v>5</v>
      </c>
      <c r="AD42" s="1262">
        <f ca="1">OFFSET(AD42,0,-1)+1</f>
        <v>6</v>
      </c>
      <c r="AE42" s="1262"/>
      <c r="AF42" s="1262">
        <f ca="1">OFFSET(AF42,0,-1)+1</f>
        <v>1</v>
      </c>
      <c r="AG42" s="1262">
        <f ca="1">OFFSET(AG42,0,-1)+1</f>
        <v>2</v>
      </c>
      <c r="AH42" s="1262">
        <f ca="1">OFFSET(AH42,0,-1)+1</f>
        <v>3</v>
      </c>
      <c r="AI42" s="2052">
        <f ca="1">OFFSET(AI42,0,-1)+1</f>
        <v>4</v>
      </c>
      <c r="AJ42" s="2052"/>
      <c r="AK42" s="1262">
        <f ca="1">OFFSET(AK42,0,-2)+1</f>
        <v>5</v>
      </c>
      <c r="AL42" s="1164">
        <f ca="1">OFFSET(AL42,0,-1)</f>
        <v>5</v>
      </c>
      <c r="AM42" s="1262">
        <f ca="1">OFFSET(AM42,0,-1)+1</f>
        <v>6</v>
      </c>
      <c r="AN42" s="437"/>
      <c r="AO42" s="437"/>
      <c r="AP42" s="437"/>
      <c r="AQ42" s="437"/>
      <c r="AR42" s="437"/>
    </row>
    <row r="43" spans="1:44" ht="21" customHeight="1">
      <c r="A43" s="1289" t="s">
        <v>164</v>
      </c>
      <c r="B43" s="1289"/>
      <c r="C43" s="1289"/>
      <c r="D43" s="1289"/>
      <c r="E43" s="2042">
        <v>1</v>
      </c>
      <c r="F43" s="1289"/>
      <c r="G43" s="1289"/>
      <c r="H43" s="1289"/>
      <c r="I43" s="1289"/>
      <c r="J43" s="1289"/>
      <c r="K43" s="1289"/>
      <c r="L43" s="1290"/>
      <c r="M43" s="1291"/>
      <c r="N43" s="1291"/>
      <c r="O43" s="1291"/>
      <c r="P43" s="282"/>
      <c r="Q43" s="281"/>
      <c r="R43" s="276"/>
      <c r="S43" s="1263">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9" t="s">
        <v>164</v>
      </c>
      <c r="B44" s="1289" t="s">
        <v>165</v>
      </c>
      <c r="C44" s="1289"/>
      <c r="D44" s="1289"/>
      <c r="E44" s="2043"/>
      <c r="F44" s="2042">
        <v>1</v>
      </c>
      <c r="G44" s="1289"/>
      <c r="H44" s="1289"/>
      <c r="I44" s="1289"/>
      <c r="J44" s="1289"/>
      <c r="K44" s="1289"/>
      <c r="L44" s="1290"/>
      <c r="M44" s="1291"/>
      <c r="N44" s="1291"/>
      <c r="O44" s="1291"/>
      <c r="P44" s="1259"/>
      <c r="Q44" s="273"/>
      <c r="R44" s="274"/>
      <c r="S44" s="1263"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164</v>
      </c>
      <c r="B45" s="1289" t="s">
        <v>165</v>
      </c>
      <c r="C45" s="1289" t="s">
        <v>166</v>
      </c>
      <c r="D45" s="1289"/>
      <c r="E45" s="2043"/>
      <c r="F45" s="2043"/>
      <c r="G45" s="2042">
        <v>1</v>
      </c>
      <c r="H45" s="1289"/>
      <c r="I45" s="1289"/>
      <c r="J45" s="1289"/>
      <c r="K45" s="1289"/>
      <c r="L45" s="1290"/>
      <c r="M45" s="1291"/>
      <c r="N45" s="1291"/>
      <c r="O45" s="1291"/>
      <c r="P45" s="275"/>
      <c r="Q45" s="273"/>
      <c r="R45" s="274"/>
      <c r="S45" s="1263"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1" customHeight="1">
      <c r="A46" s="1289" t="s">
        <v>164</v>
      </c>
      <c r="B46" s="1289" t="s">
        <v>165</v>
      </c>
      <c r="C46" s="1289" t="s">
        <v>166</v>
      </c>
      <c r="D46" s="1289" t="s">
        <v>167</v>
      </c>
      <c r="E46" s="2043"/>
      <c r="F46" s="2043"/>
      <c r="G46" s="2043"/>
      <c r="H46" s="2042">
        <v>1</v>
      </c>
      <c r="I46" s="1289"/>
      <c r="J46" s="1289"/>
      <c r="K46" s="1289"/>
      <c r="L46" s="1290"/>
      <c r="M46" s="1291"/>
      <c r="N46" s="1291"/>
      <c r="O46" s="1291"/>
      <c r="P46" s="275"/>
      <c r="Q46" s="273"/>
      <c r="R46" s="274"/>
      <c r="S46" s="1263"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s="1567" customFormat="1" ht="0" hidden="1" customHeight="1">
      <c r="A47" s="1270" t="s">
        <v>164</v>
      </c>
      <c r="B47" s="1270" t="s">
        <v>165</v>
      </c>
      <c r="C47" s="1270" t="s">
        <v>166</v>
      </c>
      <c r="D47" s="1270" t="s">
        <v>167</v>
      </c>
      <c r="E47" s="2043"/>
      <c r="F47" s="2043"/>
      <c r="G47" s="2043"/>
      <c r="H47" s="2043"/>
      <c r="I47" s="2044" t="str">
        <f>S46&amp;".1"</f>
        <v>....1</v>
      </c>
      <c r="J47" s="1270"/>
      <c r="K47" s="1270"/>
      <c r="L47" s="1273" t="s">
        <v>478</v>
      </c>
      <c r="M47" s="436"/>
      <c r="N47" s="436"/>
      <c r="O47" s="436"/>
      <c r="P47" s="1961">
        <v>1</v>
      </c>
      <c r="Q47" s="1258"/>
      <c r="R47" s="277"/>
      <c r="S47" s="958"/>
      <c r="T47" s="1309"/>
      <c r="U47" s="1310"/>
      <c r="V47" s="2071"/>
      <c r="W47" s="2072"/>
      <c r="X47" s="2072"/>
      <c r="Y47" s="2072"/>
      <c r="Z47" s="2072"/>
      <c r="AA47" s="2072"/>
      <c r="AB47" s="2072"/>
      <c r="AC47" s="2073"/>
      <c r="AD47" s="2071"/>
      <c r="AE47" s="2072"/>
      <c r="AF47" s="2072"/>
      <c r="AG47" s="2072"/>
      <c r="AH47" s="2072"/>
      <c r="AI47" s="2072"/>
      <c r="AJ47" s="2072"/>
      <c r="AK47" s="2072"/>
      <c r="AL47" s="2073"/>
      <c r="AM47" s="1311"/>
      <c r="AO47" s="426"/>
      <c r="AP47" s="426" t="str">
        <f t="shared" si="1"/>
        <v/>
      </c>
      <c r="AQ47" s="426"/>
      <c r="AR47" s="426"/>
    </row>
    <row r="48" spans="1:44" ht="21" customHeight="1">
      <c r="A48" s="1289" t="s">
        <v>164</v>
      </c>
      <c r="B48" s="1289" t="s">
        <v>165</v>
      </c>
      <c r="C48" s="1289" t="s">
        <v>166</v>
      </c>
      <c r="D48" s="1289" t="s">
        <v>167</v>
      </c>
      <c r="E48" s="2043"/>
      <c r="F48" s="2043"/>
      <c r="G48" s="2043"/>
      <c r="H48" s="2043"/>
      <c r="I48" s="2045"/>
      <c r="J48" s="2044" t="str">
        <f>S46&amp;".1"</f>
        <v>....1</v>
      </c>
      <c r="K48" s="1289"/>
      <c r="L48" s="1290" t="s">
        <v>481</v>
      </c>
      <c r="P48" s="1961"/>
      <c r="Q48" s="1961">
        <v>1</v>
      </c>
      <c r="R48" s="278"/>
      <c r="S48" s="1263" t="str">
        <f>$J48</f>
        <v>....1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1" customHeight="1">
      <c r="A49" s="1289" t="s">
        <v>164</v>
      </c>
      <c r="B49" s="1289" t="s">
        <v>165</v>
      </c>
      <c r="C49" s="1289" t="s">
        <v>166</v>
      </c>
      <c r="D49" s="1289" t="s">
        <v>167</v>
      </c>
      <c r="E49" s="2043"/>
      <c r="F49" s="2043"/>
      <c r="G49" s="2043"/>
      <c r="H49" s="2043"/>
      <c r="I49" s="2045"/>
      <c r="J49" s="2045"/>
      <c r="K49" s="2044" t="str">
        <f>J48&amp;".1"</f>
        <v>....1.1</v>
      </c>
      <c r="L49" s="1290" t="s">
        <v>484</v>
      </c>
      <c r="P49" s="1961"/>
      <c r="Q49" s="1961"/>
      <c r="R49" s="278">
        <v>1</v>
      </c>
      <c r="S49" s="1263" t="str">
        <f>$K49</f>
        <v>....1.1</v>
      </c>
      <c r="T49" s="1274"/>
      <c r="U49" s="214"/>
      <c r="V49" s="669"/>
      <c r="W49" s="246"/>
      <c r="X49" s="669"/>
      <c r="Y49" s="1186"/>
      <c r="Z49" s="2046"/>
      <c r="AA49" s="1850" t="s">
        <v>58</v>
      </c>
      <c r="AB49" s="2046"/>
      <c r="AC49" s="1850" t="s">
        <v>58</v>
      </c>
      <c r="AD49" s="669"/>
      <c r="AE49" s="246"/>
      <c r="AF49" s="669"/>
      <c r="AG49" s="1186"/>
      <c r="AH49" s="2046"/>
      <c r="AI49" s="1850" t="s">
        <v>58</v>
      </c>
      <c r="AJ49" s="2048"/>
      <c r="AK49" s="1850" t="s">
        <v>58</v>
      </c>
      <c r="AL49" s="1275"/>
      <c r="AM49" s="2064" t="s">
        <v>528</v>
      </c>
      <c r="AN49" s="437" t="e">
        <f ca="1">STRCHECKDATE(V50:AL50)</f>
        <v>#NAME?</v>
      </c>
      <c r="AO49" s="426"/>
      <c r="AP49" s="426" t="str">
        <f t="shared" si="1"/>
        <v/>
      </c>
      <c r="AQ49" s="426"/>
      <c r="AR49" s="426"/>
    </row>
    <row r="50" spans="1:44" ht="0.75" customHeight="1">
      <c r="A50" s="1289" t="s">
        <v>164</v>
      </c>
      <c r="B50" s="1289" t="s">
        <v>165</v>
      </c>
      <c r="C50" s="1289" t="s">
        <v>166</v>
      </c>
      <c r="D50" s="1289" t="s">
        <v>167</v>
      </c>
      <c r="E50" s="2043"/>
      <c r="F50" s="2043"/>
      <c r="G50" s="2043"/>
      <c r="H50" s="2043"/>
      <c r="I50" s="2045"/>
      <c r="J50" s="2045"/>
      <c r="K50" s="2044"/>
      <c r="L50" s="1290"/>
      <c r="P50" s="1961"/>
      <c r="Q50" s="1961"/>
      <c r="R50" s="278"/>
      <c r="S50" s="1269"/>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164</v>
      </c>
      <c r="B51" s="1289" t="s">
        <v>165</v>
      </c>
      <c r="C51" s="1289" t="s">
        <v>166</v>
      </c>
      <c r="D51" s="1289" t="s">
        <v>167</v>
      </c>
      <c r="E51" s="2043"/>
      <c r="F51" s="2043"/>
      <c r="G51" s="2043"/>
      <c r="H51" s="2043"/>
      <c r="I51" s="2045"/>
      <c r="J51" s="2044"/>
      <c r="K51" s="1289"/>
      <c r="L51" s="1290"/>
      <c r="P51" s="1961"/>
      <c r="Q51" s="1961"/>
      <c r="R51" s="277"/>
      <c r="S51" s="1208"/>
      <c r="T51" s="202"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164</v>
      </c>
      <c r="B52" s="1289" t="s">
        <v>165</v>
      </c>
      <c r="C52" s="1289" t="s">
        <v>166</v>
      </c>
      <c r="D52" s="1289" t="s">
        <v>167</v>
      </c>
      <c r="E52" s="2043"/>
      <c r="F52" s="2043"/>
      <c r="G52" s="2043"/>
      <c r="H52" s="2043"/>
      <c r="I52" s="2044"/>
      <c r="J52" s="1289"/>
      <c r="K52" s="1289"/>
      <c r="L52" s="1290"/>
      <c r="P52" s="1961"/>
      <c r="Q52" s="1258"/>
      <c r="R52" s="277"/>
      <c r="S52" s="1208"/>
      <c r="T52" s="288"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0" hidden="1" customHeight="1">
      <c r="A53" s="1289" t="s">
        <v>164</v>
      </c>
      <c r="B53" s="1289" t="s">
        <v>165</v>
      </c>
      <c r="C53" s="1289" t="s">
        <v>166</v>
      </c>
      <c r="D53" s="1289" t="s">
        <v>167</v>
      </c>
      <c r="E53" s="2043"/>
      <c r="F53" s="2043"/>
      <c r="G53" s="2043"/>
      <c r="H53" s="2042"/>
      <c r="I53" s="1289"/>
      <c r="J53" s="1289"/>
      <c r="K53" s="1289"/>
      <c r="L53" s="1290"/>
      <c r="M53" s="1291"/>
      <c r="N53" s="1291"/>
      <c r="O53" s="462"/>
      <c r="P53" s="281"/>
      <c r="Q53" s="299"/>
      <c r="R53" s="276"/>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26"/>
      <c r="AP53" s="426" t="str">
        <f t="shared" si="1"/>
        <v/>
      </c>
      <c r="AQ53" s="426"/>
      <c r="AR53" s="426"/>
    </row>
    <row r="54" spans="1:44" s="1567" customFormat="1" ht="0.75" customHeight="1">
      <c r="A54" s="1270" t="s">
        <v>164</v>
      </c>
      <c r="B54" s="1270" t="s">
        <v>165</v>
      </c>
      <c r="C54" s="1270" t="s">
        <v>166</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75" customHeight="1">
      <c r="A55" s="1270" t="s">
        <v>164</v>
      </c>
      <c r="B55" s="1270" t="s">
        <v>165</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75" customHeight="1">
      <c r="A56" s="1270" t="s">
        <v>164</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0.7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18.75" hidden="1" customHeight="1">
      <c r="O59" s="462"/>
      <c r="S59" s="1174" t="s">
        <v>520</v>
      </c>
      <c r="T59" s="2041" t="s">
        <v>529</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27.75" hidden="1" customHeight="1">
      <c r="O60" s="462"/>
      <c r="T60" s="2041" t="s">
        <v>530</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39.75" hidden="1" customHeight="1">
      <c r="O61" s="462"/>
      <c r="T61" s="2041" t="s">
        <v>531</v>
      </c>
      <c r="U61" s="2041"/>
      <c r="V61" s="2041"/>
      <c r="W61" s="2041"/>
      <c r="X61" s="2041"/>
      <c r="Y61" s="2041"/>
      <c r="Z61" s="2041"/>
      <c r="AA61" s="2041"/>
      <c r="AB61" s="2041"/>
      <c r="AC61" s="2041"/>
      <c r="AD61" s="2041"/>
      <c r="AE61" s="2041"/>
      <c r="AF61" s="2041"/>
      <c r="AG61" s="2041"/>
      <c r="AH61" s="2041"/>
      <c r="AI61" s="2041"/>
      <c r="AJ61" s="2041"/>
      <c r="AK61" s="2041"/>
      <c r="AL61" s="2041"/>
      <c r="AM61" s="2041"/>
    </row>
    <row r="62" spans="1:44" ht="14.25" hidden="1" customHeight="1">
      <c r="O62" s="462"/>
    </row>
    <row r="63" spans="1:44" ht="19.5" hidden="1" customHeight="1">
      <c r="O63" s="462"/>
      <c r="S63" s="1174" t="s">
        <v>520</v>
      </c>
      <c r="T63" s="1880" t="s">
        <v>523</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27.75" hidden="1" customHeight="1">
      <c r="O64" s="462"/>
      <c r="T64" s="2041" t="s">
        <v>532</v>
      </c>
      <c r="U64" s="2041"/>
      <c r="V64" s="2041"/>
      <c r="W64" s="2041"/>
      <c r="X64" s="2041"/>
      <c r="Y64" s="2041"/>
      <c r="Z64" s="2041"/>
      <c r="AA64" s="2041"/>
      <c r="AB64" s="2041"/>
      <c r="AC64" s="2041"/>
      <c r="AD64" s="2041"/>
      <c r="AE64" s="2041"/>
      <c r="AF64" s="2041"/>
      <c r="AG64" s="2041"/>
      <c r="AH64" s="2041"/>
      <c r="AI64" s="2041"/>
      <c r="AJ64" s="2041"/>
      <c r="AK64" s="2041"/>
      <c r="AL64" s="2041"/>
      <c r="AM64" s="2041"/>
    </row>
    <row r="65" spans="20:39" ht="33.75" hidden="1" customHeight="1">
      <c r="T65" s="2041" t="s">
        <v>533</v>
      </c>
      <c r="U65" s="2041"/>
      <c r="V65" s="2041"/>
      <c r="W65" s="2041"/>
      <c r="X65" s="2041"/>
      <c r="Y65" s="2041"/>
      <c r="Z65" s="2041"/>
      <c r="AA65" s="2041"/>
      <c r="AB65" s="2041"/>
      <c r="AC65" s="2041"/>
      <c r="AD65" s="2041"/>
      <c r="AE65" s="2041"/>
      <c r="AF65" s="2041"/>
      <c r="AG65" s="2041"/>
      <c r="AH65" s="2041"/>
      <c r="AI65" s="2041"/>
      <c r="AJ65" s="2041"/>
      <c r="AK65" s="2041"/>
      <c r="AL65" s="2041"/>
      <c r="AM65" s="2041"/>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hidden="1" customWidth="1"/>
    <col min="17" max="18" width="3.69921875" style="265" customWidth="1"/>
    <col min="19" max="19" width="12.69921875" style="1795" customWidth="1"/>
    <col min="20" max="20" width="32"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69921875"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63"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59"/>
      <c r="Q3" s="273"/>
      <c r="R3" s="274"/>
      <c r="S3" s="1263"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63"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63"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14.25" hidden="1" customHeight="1">
      <c r="A6" s="1289"/>
      <c r="B6" s="1289"/>
      <c r="C6" s="1289"/>
      <c r="D6" s="1289"/>
      <c r="E6" s="2043"/>
      <c r="F6" s="2043"/>
      <c r="G6" s="2043"/>
      <c r="H6" s="2043"/>
      <c r="I6" s="2044" t="e">
        <f>S5&amp;".1"</f>
        <v>#N/A</v>
      </c>
      <c r="J6" s="1289"/>
      <c r="K6" s="1289"/>
      <c r="L6" s="1290" t="s">
        <v>478</v>
      </c>
      <c r="M6" s="462"/>
      <c r="P6" s="1961">
        <v>1</v>
      </c>
      <c r="Q6" s="1258"/>
      <c r="R6" s="277"/>
      <c r="S6" s="958"/>
      <c r="T6" s="1309"/>
      <c r="U6" s="1310"/>
      <c r="V6" s="2071"/>
      <c r="W6" s="2072"/>
      <c r="X6" s="2072"/>
      <c r="Y6" s="2072"/>
      <c r="Z6" s="2072"/>
      <c r="AA6" s="2072"/>
      <c r="AB6" s="2072"/>
      <c r="AC6" s="2073"/>
      <c r="AD6" s="2071"/>
      <c r="AE6" s="2072"/>
      <c r="AF6" s="2072"/>
      <c r="AG6" s="2072"/>
      <c r="AH6" s="2072"/>
      <c r="AI6" s="2072"/>
      <c r="AJ6" s="2072"/>
      <c r="AK6" s="2072"/>
      <c r="AL6" s="2073"/>
      <c r="AM6" s="1311"/>
      <c r="AO6" s="426"/>
      <c r="AP6" s="426" t="str">
        <f t="shared" si="0"/>
        <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63"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63" t="e">
        <f>$K8</f>
        <v>#N/A</v>
      </c>
      <c r="T8" s="1274"/>
      <c r="U8" s="214"/>
      <c r="V8" s="669"/>
      <c r="W8" s="246"/>
      <c r="X8" s="669"/>
      <c r="Y8" s="1186"/>
      <c r="Z8" s="2046"/>
      <c r="AA8" s="1850" t="s">
        <v>58</v>
      </c>
      <c r="AB8" s="2046"/>
      <c r="AC8" s="1850" t="s">
        <v>58</v>
      </c>
      <c r="AD8" s="669"/>
      <c r="AE8" s="246"/>
      <c r="AF8" s="669"/>
      <c r="AG8" s="1186"/>
      <c r="AH8" s="2046"/>
      <c r="AI8" s="1850" t="s">
        <v>58</v>
      </c>
      <c r="AJ8" s="2046"/>
      <c r="AK8" s="1850" t="s">
        <v>58</v>
      </c>
      <c r="AL8" s="246"/>
      <c r="AM8" s="2064" t="s">
        <v>485</v>
      </c>
      <c r="AN8" s="437" t="e">
        <f ca="1">STRCHECKDATE(V9:AL9)</f>
        <v>#NAME?</v>
      </c>
      <c r="AO8" s="426"/>
      <c r="AP8" s="426" t="str">
        <f t="shared" si="0"/>
        <v/>
      </c>
      <c r="AQ8" s="426"/>
      <c r="AR8" s="426"/>
    </row>
    <row r="9" spans="1:44" ht="14.25" hidden="1" customHeight="1">
      <c r="A9" s="1289"/>
      <c r="B9" s="1289"/>
      <c r="C9" s="1289"/>
      <c r="D9" s="1289"/>
      <c r="E9" s="2043"/>
      <c r="F9" s="2043"/>
      <c r="G9" s="2043"/>
      <c r="H9" s="2043"/>
      <c r="I9" s="2045"/>
      <c r="J9" s="2045"/>
      <c r="K9" s="2044"/>
      <c r="L9" s="1290"/>
      <c r="M9" s="462"/>
      <c r="N9" s="1292"/>
      <c r="O9" s="1292"/>
      <c r="P9" s="1961"/>
      <c r="Q9" s="1961"/>
      <c r="R9" s="278"/>
      <c r="S9" s="1269"/>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2"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1.25" hidden="1" customHeight="1">
      <c r="A11" s="1289"/>
      <c r="B11" s="1289"/>
      <c r="C11" s="1289"/>
      <c r="D11" s="1289"/>
      <c r="E11" s="2043"/>
      <c r="F11" s="2043"/>
      <c r="G11" s="2043"/>
      <c r="H11" s="2043"/>
      <c r="I11" s="2044"/>
      <c r="J11" s="1289"/>
      <c r="K11" s="1289"/>
      <c r="L11" s="1290"/>
      <c r="M11" s="462"/>
      <c r="P11" s="1961"/>
      <c r="Q11" s="1258"/>
      <c r="R11" s="277"/>
      <c r="S11" s="1208"/>
      <c r="T11" s="288"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26"/>
      <c r="AP12" s="426" t="str">
        <f t="shared" si="0"/>
        <v/>
      </c>
      <c r="AQ12" s="426"/>
      <c r="AR12" s="426"/>
    </row>
    <row r="13" spans="1:44" s="1567" customFormat="1" ht="14.2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14.2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14.2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AD17" s="1286"/>
      <c r="AE17" s="1286"/>
      <c r="AF17" s="1286"/>
      <c r="AG17" s="1287"/>
      <c r="AH17" s="2040"/>
      <c r="AI17" s="2039" t="s">
        <v>58</v>
      </c>
      <c r="AJ17" s="2040"/>
      <c r="AK17" s="2039" t="s">
        <v>58</v>
      </c>
    </row>
    <row r="18" spans="1:44" ht="14.25" hidden="1" customHeight="1">
      <c r="AD18" s="1286"/>
      <c r="AE18" s="1286"/>
      <c r="AF18" s="1286"/>
      <c r="AG18" s="250" t="str">
        <f>AH17&amp;"-"&amp;AJ17</f>
        <v>-</v>
      </c>
      <c r="AH18" s="2039"/>
      <c r="AI18" s="2039"/>
      <c r="AJ18" s="2039"/>
      <c r="AK18" s="2039"/>
    </row>
    <row r="19" spans="1:44" ht="14.25" hidden="1" customHeight="1">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14.2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row>
    <row r="24" spans="1:44" ht="14.25" hidden="1" customHeight="1">
      <c r="O24" s="1290"/>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64.5" customHeight="1">
      <c r="Q26" s="300"/>
      <c r="R26" s="300"/>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18.7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267"/>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56"/>
      <c r="Y39" s="2056"/>
      <c r="Z39" s="2056"/>
      <c r="AA39" s="2056"/>
      <c r="AB39" s="2057"/>
      <c r="AC39" s="2058" t="s">
        <v>502</v>
      </c>
      <c r="AD39" s="2055" t="s">
        <v>501</v>
      </c>
      <c r="AE39" s="2056"/>
      <c r="AF39" s="2056"/>
      <c r="AG39" s="2056"/>
      <c r="AH39" s="2056"/>
      <c r="AI39" s="2056"/>
      <c r="AJ39" s="2057"/>
      <c r="AK39" s="2058" t="s">
        <v>503</v>
      </c>
      <c r="AL39" s="2061" t="s">
        <v>504</v>
      </c>
      <c r="AM39" s="1840"/>
    </row>
    <row r="40" spans="1:44" ht="33.75" customHeight="1">
      <c r="Q40" s="300"/>
      <c r="R40" s="300"/>
      <c r="S40" s="2054"/>
      <c r="T40" s="1925"/>
      <c r="U40" s="947"/>
      <c r="V40" s="1894" t="s">
        <v>505</v>
      </c>
      <c r="W40" s="2050"/>
      <c r="X40" s="1822" t="s">
        <v>507</v>
      </c>
      <c r="Y40" s="1821"/>
      <c r="Z40" s="1822" t="s">
        <v>508</v>
      </c>
      <c r="AA40" s="1827"/>
      <c r="AB40" s="1821"/>
      <c r="AC40" s="2059"/>
      <c r="AD40" s="1894" t="s">
        <v>505</v>
      </c>
      <c r="AE40" s="2050"/>
      <c r="AF40" s="1822" t="s">
        <v>507</v>
      </c>
      <c r="AG40" s="1821"/>
      <c r="AH40" s="1822" t="s">
        <v>508</v>
      </c>
      <c r="AI40" s="1827"/>
      <c r="AJ40" s="1821"/>
      <c r="AK40" s="2059"/>
      <c r="AL40" s="2062"/>
      <c r="AM40" s="1840"/>
    </row>
    <row r="41" spans="1:44" ht="33.7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Q41" s="300"/>
      <c r="R41" s="300"/>
      <c r="S41" s="2054"/>
      <c r="T41" s="1925"/>
      <c r="U41" s="216"/>
      <c r="V41" s="1950"/>
      <c r="W41" s="2051"/>
      <c r="X41" s="1138" t="s">
        <v>516</v>
      </c>
      <c r="Y41" s="1138" t="s">
        <v>517</v>
      </c>
      <c r="Z41" s="1265" t="s">
        <v>518</v>
      </c>
      <c r="AA41" s="1931" t="s">
        <v>519</v>
      </c>
      <c r="AB41" s="1945"/>
      <c r="AC41" s="2060"/>
      <c r="AD41" s="1950"/>
      <c r="AE41" s="2051"/>
      <c r="AF41" s="1138" t="s">
        <v>516</v>
      </c>
      <c r="AG41" s="1138" t="s">
        <v>517</v>
      </c>
      <c r="AH41" s="1265" t="s">
        <v>518</v>
      </c>
      <c r="AI41" s="1931" t="s">
        <v>519</v>
      </c>
      <c r="AJ41" s="1945"/>
      <c r="AK41" s="2060"/>
      <c r="AL41" s="2063"/>
      <c r="AM41" s="1840"/>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262">
        <f ca="1">OFFSET(V42,0,-1)+1</f>
        <v>3</v>
      </c>
      <c r="W42" s="1262"/>
      <c r="X42" s="1262">
        <f ca="1">OFFSET(X42,0,-1)+1</f>
        <v>1</v>
      </c>
      <c r="Y42" s="1262">
        <f ca="1">OFFSET(Y42,0,-1)+1</f>
        <v>2</v>
      </c>
      <c r="Z42" s="1262">
        <f ca="1">OFFSET(Z42,0,-1)+1</f>
        <v>3</v>
      </c>
      <c r="AA42" s="2052">
        <f ca="1">OFFSET(AA42,0,-1)+1</f>
        <v>4</v>
      </c>
      <c r="AB42" s="2052"/>
      <c r="AC42" s="1262">
        <f ca="1">OFFSET(AC42,0,-2)+1</f>
        <v>5</v>
      </c>
      <c r="AD42" s="1262">
        <f ca="1">OFFSET(AD42,0,-1)+1</f>
        <v>6</v>
      </c>
      <c r="AE42" s="1262"/>
      <c r="AF42" s="1262">
        <f ca="1">OFFSET(AF42,0,-1)+1</f>
        <v>1</v>
      </c>
      <c r="AG42" s="1262">
        <f ca="1">OFFSET(AG42,0,-1)+1</f>
        <v>2</v>
      </c>
      <c r="AH42" s="1262">
        <f ca="1">OFFSET(AH42,0,-1)+1</f>
        <v>3</v>
      </c>
      <c r="AI42" s="2052">
        <f ca="1">OFFSET(AI42,0,-1)+1</f>
        <v>4</v>
      </c>
      <c r="AJ42" s="2052"/>
      <c r="AK42" s="1262">
        <f ca="1">OFFSET(AK42,0,-2)+1</f>
        <v>5</v>
      </c>
      <c r="AL42" s="1164">
        <f ca="1">OFFSET(AL42,0,-1)</f>
        <v>5</v>
      </c>
      <c r="AM42" s="1262">
        <f ca="1">OFFSET(AM42,0,-1)+1</f>
        <v>6</v>
      </c>
      <c r="AN42" s="437"/>
      <c r="AO42" s="437"/>
      <c r="AP42" s="437"/>
      <c r="AQ42" s="437"/>
      <c r="AR42" s="437"/>
    </row>
    <row r="43" spans="1:44" ht="21" customHeight="1">
      <c r="A43" s="1289" t="s">
        <v>176</v>
      </c>
      <c r="B43" s="1289"/>
      <c r="C43" s="1289"/>
      <c r="D43" s="1289"/>
      <c r="E43" s="2042">
        <v>1</v>
      </c>
      <c r="F43" s="1289"/>
      <c r="G43" s="1289"/>
      <c r="H43" s="1289"/>
      <c r="I43" s="1289"/>
      <c r="J43" s="1289"/>
      <c r="K43" s="1289"/>
      <c r="L43" s="1290"/>
      <c r="M43" s="1291"/>
      <c r="N43" s="1291"/>
      <c r="O43" s="1291"/>
      <c r="P43" s="282"/>
      <c r="Q43" s="281"/>
      <c r="R43" s="276"/>
      <c r="S43" s="1263">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9" t="s">
        <v>176</v>
      </c>
      <c r="B44" s="1289" t="s">
        <v>177</v>
      </c>
      <c r="C44" s="1289"/>
      <c r="D44" s="1289"/>
      <c r="E44" s="2043"/>
      <c r="F44" s="2042">
        <v>1</v>
      </c>
      <c r="G44" s="1289"/>
      <c r="H44" s="1289"/>
      <c r="I44" s="1289"/>
      <c r="J44" s="1289"/>
      <c r="K44" s="1289"/>
      <c r="L44" s="1290"/>
      <c r="M44" s="1291"/>
      <c r="N44" s="1291"/>
      <c r="O44" s="1291"/>
      <c r="P44" s="1259"/>
      <c r="Q44" s="273"/>
      <c r="R44" s="274"/>
      <c r="S44" s="1263"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176</v>
      </c>
      <c r="B45" s="1289" t="s">
        <v>177</v>
      </c>
      <c r="C45" s="1289" t="s">
        <v>178</v>
      </c>
      <c r="D45" s="1289"/>
      <c r="E45" s="2043"/>
      <c r="F45" s="2043"/>
      <c r="G45" s="2042">
        <v>1</v>
      </c>
      <c r="H45" s="1289"/>
      <c r="I45" s="1289"/>
      <c r="J45" s="1289"/>
      <c r="K45" s="1289"/>
      <c r="L45" s="1290"/>
      <c r="M45" s="1291"/>
      <c r="N45" s="1291"/>
      <c r="O45" s="1291"/>
      <c r="P45" s="275"/>
      <c r="Q45" s="273"/>
      <c r="R45" s="274"/>
      <c r="S45" s="1263"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1" customHeight="1">
      <c r="A46" s="1289" t="s">
        <v>176</v>
      </c>
      <c r="B46" s="1289" t="s">
        <v>177</v>
      </c>
      <c r="C46" s="1289" t="s">
        <v>178</v>
      </c>
      <c r="D46" s="1289" t="s">
        <v>179</v>
      </c>
      <c r="E46" s="2043"/>
      <c r="F46" s="2043"/>
      <c r="G46" s="2043"/>
      <c r="H46" s="2042">
        <v>1</v>
      </c>
      <c r="I46" s="1289"/>
      <c r="J46" s="1289"/>
      <c r="K46" s="1289"/>
      <c r="L46" s="1290"/>
      <c r="M46" s="1291"/>
      <c r="N46" s="1291"/>
      <c r="O46" s="1291"/>
      <c r="P46" s="275"/>
      <c r="Q46" s="273"/>
      <c r="R46" s="274"/>
      <c r="S46" s="1263"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s="1567" customFormat="1" ht="0" hidden="1" customHeight="1">
      <c r="A47" s="1270" t="s">
        <v>176</v>
      </c>
      <c r="B47" s="1270" t="s">
        <v>177</v>
      </c>
      <c r="C47" s="1270" t="s">
        <v>178</v>
      </c>
      <c r="D47" s="1270" t="s">
        <v>179</v>
      </c>
      <c r="E47" s="2043"/>
      <c r="F47" s="2043"/>
      <c r="G47" s="2043"/>
      <c r="H47" s="2043"/>
      <c r="I47" s="2044" t="str">
        <f>S46&amp;".1"</f>
        <v>....1</v>
      </c>
      <c r="J47" s="1270"/>
      <c r="K47" s="1270"/>
      <c r="L47" s="1273" t="s">
        <v>478</v>
      </c>
      <c r="M47" s="436"/>
      <c r="N47" s="436"/>
      <c r="O47" s="436"/>
      <c r="P47" s="1961">
        <v>1</v>
      </c>
      <c r="Q47" s="1258"/>
      <c r="R47" s="277"/>
      <c r="S47" s="958"/>
      <c r="T47" s="1309"/>
      <c r="U47" s="1310"/>
      <c r="V47" s="2071"/>
      <c r="W47" s="2072"/>
      <c r="X47" s="2072"/>
      <c r="Y47" s="2072"/>
      <c r="Z47" s="2072"/>
      <c r="AA47" s="2072"/>
      <c r="AB47" s="2072"/>
      <c r="AC47" s="2073"/>
      <c r="AD47" s="2071"/>
      <c r="AE47" s="2072"/>
      <c r="AF47" s="2072"/>
      <c r="AG47" s="2072"/>
      <c r="AH47" s="2072"/>
      <c r="AI47" s="2072"/>
      <c r="AJ47" s="2072"/>
      <c r="AK47" s="2072"/>
      <c r="AL47" s="2073"/>
      <c r="AM47" s="1311"/>
      <c r="AO47" s="426"/>
      <c r="AP47" s="426" t="str">
        <f t="shared" si="1"/>
        <v/>
      </c>
      <c r="AQ47" s="426"/>
      <c r="AR47" s="426"/>
    </row>
    <row r="48" spans="1:44" ht="21" customHeight="1">
      <c r="A48" s="1289" t="s">
        <v>176</v>
      </c>
      <c r="B48" s="1289" t="s">
        <v>177</v>
      </c>
      <c r="C48" s="1289" t="s">
        <v>178</v>
      </c>
      <c r="D48" s="1289" t="s">
        <v>179</v>
      </c>
      <c r="E48" s="2043"/>
      <c r="F48" s="2043"/>
      <c r="G48" s="2043"/>
      <c r="H48" s="2043"/>
      <c r="I48" s="2045"/>
      <c r="J48" s="2044" t="str">
        <f>S46&amp;".1"</f>
        <v>....1</v>
      </c>
      <c r="K48" s="1289"/>
      <c r="L48" s="1290" t="s">
        <v>481</v>
      </c>
      <c r="P48" s="1961"/>
      <c r="Q48" s="1961">
        <v>1</v>
      </c>
      <c r="R48" s="278"/>
      <c r="S48" s="1263" t="str">
        <f>$J48</f>
        <v>....1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1" customHeight="1">
      <c r="A49" s="1289" t="s">
        <v>176</v>
      </c>
      <c r="B49" s="1289" t="s">
        <v>177</v>
      </c>
      <c r="C49" s="1289" t="s">
        <v>178</v>
      </c>
      <c r="D49" s="1289" t="s">
        <v>179</v>
      </c>
      <c r="E49" s="2043"/>
      <c r="F49" s="2043"/>
      <c r="G49" s="2043"/>
      <c r="H49" s="2043"/>
      <c r="I49" s="2045"/>
      <c r="J49" s="2045"/>
      <c r="K49" s="2044" t="str">
        <f>J48&amp;".1"</f>
        <v>....1.1</v>
      </c>
      <c r="L49" s="1290" t="s">
        <v>484</v>
      </c>
      <c r="P49" s="1961"/>
      <c r="Q49" s="1961"/>
      <c r="R49" s="278">
        <v>1</v>
      </c>
      <c r="S49" s="1263" t="str">
        <f>$K49</f>
        <v>....1.1</v>
      </c>
      <c r="T49" s="1274"/>
      <c r="U49" s="214"/>
      <c r="V49" s="669"/>
      <c r="W49" s="246"/>
      <c r="X49" s="669"/>
      <c r="Y49" s="1186"/>
      <c r="Z49" s="2046"/>
      <c r="AA49" s="1850" t="s">
        <v>58</v>
      </c>
      <c r="AB49" s="2046"/>
      <c r="AC49" s="1850" t="s">
        <v>58</v>
      </c>
      <c r="AD49" s="669"/>
      <c r="AE49" s="246"/>
      <c r="AF49" s="669"/>
      <c r="AG49" s="1186"/>
      <c r="AH49" s="2046"/>
      <c r="AI49" s="1850" t="s">
        <v>58</v>
      </c>
      <c r="AJ49" s="2048"/>
      <c r="AK49" s="1850" t="s">
        <v>58</v>
      </c>
      <c r="AL49" s="1275"/>
      <c r="AM49" s="2064" t="s">
        <v>528</v>
      </c>
      <c r="AN49" s="437" t="e">
        <f ca="1">STRCHECKDATE(V50:AL50)</f>
        <v>#NAME?</v>
      </c>
      <c r="AO49" s="426"/>
      <c r="AP49" s="426" t="str">
        <f t="shared" si="1"/>
        <v/>
      </c>
      <c r="AQ49" s="426"/>
      <c r="AR49" s="426"/>
    </row>
    <row r="50" spans="1:44" ht="0.75" customHeight="1">
      <c r="A50" s="1289" t="s">
        <v>176</v>
      </c>
      <c r="B50" s="1289" t="s">
        <v>177</v>
      </c>
      <c r="C50" s="1289" t="s">
        <v>178</v>
      </c>
      <c r="D50" s="1289" t="s">
        <v>179</v>
      </c>
      <c r="E50" s="2043"/>
      <c r="F50" s="2043"/>
      <c r="G50" s="2043"/>
      <c r="H50" s="2043"/>
      <c r="I50" s="2045"/>
      <c r="J50" s="2045"/>
      <c r="K50" s="2044"/>
      <c r="L50" s="1290"/>
      <c r="P50" s="1961"/>
      <c r="Q50" s="1961"/>
      <c r="R50" s="278"/>
      <c r="S50" s="1269"/>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176</v>
      </c>
      <c r="B51" s="1289" t="s">
        <v>177</v>
      </c>
      <c r="C51" s="1289" t="s">
        <v>178</v>
      </c>
      <c r="D51" s="1289" t="s">
        <v>179</v>
      </c>
      <c r="E51" s="2043"/>
      <c r="F51" s="2043"/>
      <c r="G51" s="2043"/>
      <c r="H51" s="2043"/>
      <c r="I51" s="2045"/>
      <c r="J51" s="2044"/>
      <c r="K51" s="1289"/>
      <c r="L51" s="1290"/>
      <c r="P51" s="1961"/>
      <c r="Q51" s="1961"/>
      <c r="R51" s="277"/>
      <c r="S51" s="1208"/>
      <c r="T51" s="202"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176</v>
      </c>
      <c r="B52" s="1289" t="s">
        <v>177</v>
      </c>
      <c r="C52" s="1289" t="s">
        <v>178</v>
      </c>
      <c r="D52" s="1289" t="s">
        <v>179</v>
      </c>
      <c r="E52" s="2043"/>
      <c r="F52" s="2043"/>
      <c r="G52" s="2043"/>
      <c r="H52" s="2043"/>
      <c r="I52" s="2044"/>
      <c r="J52" s="1289"/>
      <c r="K52" s="1289"/>
      <c r="L52" s="1290"/>
      <c r="P52" s="1961"/>
      <c r="Q52" s="1258"/>
      <c r="R52" s="277"/>
      <c r="S52" s="1208"/>
      <c r="T52" s="288"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0" hidden="1" customHeight="1">
      <c r="A53" s="1289" t="s">
        <v>176</v>
      </c>
      <c r="B53" s="1289" t="s">
        <v>177</v>
      </c>
      <c r="C53" s="1289" t="s">
        <v>178</v>
      </c>
      <c r="D53" s="1289" t="s">
        <v>179</v>
      </c>
      <c r="E53" s="2043"/>
      <c r="F53" s="2043"/>
      <c r="G53" s="2043"/>
      <c r="H53" s="2042"/>
      <c r="I53" s="1289"/>
      <c r="J53" s="1289"/>
      <c r="K53" s="1289"/>
      <c r="L53" s="1290"/>
      <c r="M53" s="1291"/>
      <c r="N53" s="1291"/>
      <c r="O53" s="462"/>
      <c r="P53" s="281"/>
      <c r="Q53" s="299"/>
      <c r="R53" s="276"/>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26"/>
      <c r="AP53" s="426" t="str">
        <f t="shared" si="1"/>
        <v/>
      </c>
      <c r="AQ53" s="426"/>
      <c r="AR53" s="426"/>
    </row>
    <row r="54" spans="1:44" s="1567" customFormat="1" ht="0.75" customHeight="1">
      <c r="A54" s="1270" t="s">
        <v>176</v>
      </c>
      <c r="B54" s="1270" t="s">
        <v>177</v>
      </c>
      <c r="C54" s="1270" t="s">
        <v>178</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75" customHeight="1">
      <c r="A55" s="1270" t="s">
        <v>176</v>
      </c>
      <c r="B55" s="1270" t="s">
        <v>177</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75" customHeight="1">
      <c r="A56" s="1270" t="s">
        <v>176</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0.7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21.75" hidden="1" customHeight="1">
      <c r="O59" s="462"/>
      <c r="S59" s="1174" t="s">
        <v>520</v>
      </c>
      <c r="T59" s="2041" t="s">
        <v>529</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29.25" hidden="1" customHeight="1">
      <c r="O60" s="462"/>
      <c r="T60" s="2041" t="s">
        <v>530</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39.75" hidden="1" customHeight="1">
      <c r="O61" s="462"/>
      <c r="T61" s="2041" t="s">
        <v>531</v>
      </c>
      <c r="U61" s="2041"/>
      <c r="V61" s="2041"/>
      <c r="W61" s="2041"/>
      <c r="X61" s="2041"/>
      <c r="Y61" s="2041"/>
      <c r="Z61" s="2041"/>
      <c r="AA61" s="2041"/>
      <c r="AB61" s="2041"/>
      <c r="AC61" s="2041"/>
      <c r="AD61" s="2041"/>
      <c r="AE61" s="2041"/>
      <c r="AF61" s="2041"/>
      <c r="AG61" s="2041"/>
      <c r="AH61" s="2041"/>
      <c r="AI61" s="2041"/>
      <c r="AJ61" s="2041"/>
      <c r="AK61" s="2041"/>
      <c r="AL61" s="2041"/>
      <c r="AM61" s="2041"/>
    </row>
    <row r="62" spans="1:44" ht="14.25" hidden="1" customHeight="1">
      <c r="O62" s="462"/>
    </row>
    <row r="63" spans="1:44" ht="19.5" hidden="1" customHeight="1">
      <c r="O63" s="462"/>
      <c r="S63" s="1174" t="s">
        <v>520</v>
      </c>
      <c r="T63" s="1880" t="s">
        <v>523</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27.75" hidden="1" customHeight="1">
      <c r="O64" s="462"/>
      <c r="T64" s="2041" t="s">
        <v>532</v>
      </c>
      <c r="U64" s="2041"/>
      <c r="V64" s="2041"/>
      <c r="W64" s="2041"/>
      <c r="X64" s="2041"/>
      <c r="Y64" s="2041"/>
      <c r="Z64" s="2041"/>
      <c r="AA64" s="2041"/>
      <c r="AB64" s="2041"/>
      <c r="AC64" s="2041"/>
      <c r="AD64" s="2041"/>
      <c r="AE64" s="2041"/>
      <c r="AF64" s="2041"/>
      <c r="AG64" s="2041"/>
      <c r="AH64" s="2041"/>
      <c r="AI64" s="2041"/>
      <c r="AJ64" s="2041"/>
      <c r="AK64" s="2041"/>
      <c r="AL64" s="2041"/>
      <c r="AM64" s="2041"/>
    </row>
    <row r="65" spans="20:39" ht="33.75" hidden="1" customHeight="1">
      <c r="T65" s="2041" t="s">
        <v>533</v>
      </c>
      <c r="U65" s="2041"/>
      <c r="V65" s="2041"/>
      <c r="W65" s="2041"/>
      <c r="X65" s="2041"/>
      <c r="Y65" s="2041"/>
      <c r="Z65" s="2041"/>
      <c r="AA65" s="2041"/>
      <c r="AB65" s="2041"/>
      <c r="AC65" s="2041"/>
      <c r="AD65" s="2041"/>
      <c r="AE65" s="2041"/>
      <c r="AF65" s="2041"/>
      <c r="AG65" s="2041"/>
      <c r="AH65" s="2041"/>
      <c r="AI65" s="2041"/>
      <c r="AJ65" s="2041"/>
      <c r="AK65" s="2041"/>
      <c r="AL65" s="2041"/>
      <c r="AM65" s="2041"/>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94" hidden="1" customWidth="1"/>
    <col min="17" max="18" width="3.69921875" style="265" customWidth="1"/>
    <col min="19" max="19" width="12.69921875" style="1795" customWidth="1"/>
    <col min="20" max="20" width="32"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69921875" style="1560" customWidth="1"/>
    <col min="34" max="34" width="11.69921875" style="1560" customWidth="1"/>
    <col min="35" max="35" width="3.69921875" style="1560" customWidth="1"/>
    <col min="36" max="36" width="11.69921875" style="1560" customWidth="1"/>
    <col min="37" max="37" width="8.59765625" style="1560" hidden="1" customWidth="1"/>
    <col min="38" max="38" width="4.69921875" style="1560" customWidth="1"/>
    <col min="39" max="39" width="115.69921875" style="1560" customWidth="1"/>
    <col min="40" max="41" width="10.59765625" style="1567"/>
    <col min="42" max="42" width="11.09765625" style="1567" customWidth="1"/>
    <col min="43" max="44" width="10.59765625" style="1567"/>
  </cols>
  <sheetData>
    <row r="1" spans="1:44" ht="14.25" hidden="1" customHeight="1">
      <c r="Y1" s="249"/>
      <c r="Z1" s="249"/>
      <c r="AG1" s="249"/>
      <c r="AH1" s="249"/>
    </row>
    <row r="2" spans="1:44" ht="21" hidden="1" customHeight="1">
      <c r="A2" s="1289"/>
      <c r="B2" s="1289"/>
      <c r="C2" s="1289"/>
      <c r="D2" s="1289"/>
      <c r="E2" s="2042">
        <v>1</v>
      </c>
      <c r="F2" s="1289"/>
      <c r="G2" s="1289"/>
      <c r="H2" s="1289"/>
      <c r="I2" s="1289"/>
      <c r="J2" s="1289"/>
      <c r="K2" s="1289"/>
      <c r="L2" s="1290"/>
      <c r="M2" s="1291"/>
      <c r="N2" s="1291"/>
      <c r="O2" s="1291"/>
      <c r="P2" s="282"/>
      <c r="Q2" s="281"/>
      <c r="R2" s="276"/>
      <c r="S2" s="1263" t="e">
        <f>INDEX(PT_DIFFERENTIATION_NUM_NTAR,MATCH(A2,PT_DIFFERENTIATION_NTAR_ID,0))</f>
        <v>#N/A</v>
      </c>
      <c r="T2" s="212" t="s">
        <v>119</v>
      </c>
      <c r="U2" s="214"/>
      <c r="V2" s="2036"/>
      <c r="W2" s="2037"/>
      <c r="X2" s="2037"/>
      <c r="Y2" s="2037"/>
      <c r="Z2" s="2037"/>
      <c r="AA2" s="2037"/>
      <c r="AB2" s="2037"/>
      <c r="AC2" s="2038"/>
      <c r="AD2" s="2036" t="e">
        <f>INDEX(PT_DIFFERENTIATION_NTAR,MATCH(A2,PT_DIFFERENTIATION_NTAR_ID,0))</f>
        <v>#N/A</v>
      </c>
      <c r="AE2" s="2037"/>
      <c r="AF2" s="2037"/>
      <c r="AG2" s="2037"/>
      <c r="AH2" s="2037"/>
      <c r="AI2" s="2037"/>
      <c r="AJ2" s="2037"/>
      <c r="AK2" s="2037"/>
      <c r="AL2" s="2038"/>
      <c r="AM2" s="1187" t="s">
        <v>471</v>
      </c>
      <c r="AO2" s="426"/>
      <c r="AP2" s="426" t="str">
        <f t="shared" ref="AP2:AP15" si="0">IF(T2="","",T2)</f>
        <v>Наименование тарифа</v>
      </c>
      <c r="AQ2" s="426"/>
      <c r="AR2" s="426"/>
    </row>
    <row r="3" spans="1:44" ht="21" hidden="1" customHeight="1">
      <c r="A3" s="1289"/>
      <c r="B3" s="1289"/>
      <c r="C3" s="1289"/>
      <c r="D3" s="1289"/>
      <c r="E3" s="2043"/>
      <c r="F3" s="2042">
        <v>1</v>
      </c>
      <c r="G3" s="1289"/>
      <c r="H3" s="1289"/>
      <c r="I3" s="1289"/>
      <c r="J3" s="1289"/>
      <c r="K3" s="1289"/>
      <c r="L3" s="1290"/>
      <c r="M3" s="1291"/>
      <c r="N3" s="1291"/>
      <c r="O3" s="1291"/>
      <c r="P3" s="1259"/>
      <c r="Q3" s="273"/>
      <c r="R3" s="274"/>
      <c r="S3" s="1263" t="e">
        <f>INDEX(PT_DIFFERENTIATION_NUM_TER,MATCH(B3,PT_DIFFERENTIATION_TER_ID,0))</f>
        <v>#N/A</v>
      </c>
      <c r="T3" s="224" t="s">
        <v>472</v>
      </c>
      <c r="U3" s="214"/>
      <c r="V3" s="2036"/>
      <c r="W3" s="2037"/>
      <c r="X3" s="2037"/>
      <c r="Y3" s="2037"/>
      <c r="Z3" s="2037"/>
      <c r="AA3" s="2037"/>
      <c r="AB3" s="2037"/>
      <c r="AC3" s="2038"/>
      <c r="AD3" s="2036" t="e">
        <f>INDEX(PT_DIFFERENTIATION_TER,MATCH(B3,PT_DIFFERENTIATION_TER_ID,0))</f>
        <v>#N/A</v>
      </c>
      <c r="AE3" s="2037"/>
      <c r="AF3" s="2037"/>
      <c r="AG3" s="2037"/>
      <c r="AH3" s="2037"/>
      <c r="AI3" s="2037"/>
      <c r="AJ3" s="2037"/>
      <c r="AK3" s="2037"/>
      <c r="AL3" s="2038"/>
      <c r="AM3" s="1187" t="s">
        <v>473</v>
      </c>
      <c r="AO3" s="426"/>
      <c r="AP3" s="426" t="str">
        <f t="shared" si="0"/>
        <v>Территория действия тарифа</v>
      </c>
      <c r="AQ3" s="426"/>
      <c r="AR3" s="426"/>
    </row>
    <row r="4" spans="1:44" ht="23.25" hidden="1" customHeight="1">
      <c r="A4" s="1289"/>
      <c r="B4" s="1289"/>
      <c r="C4" s="1289"/>
      <c r="D4" s="1289"/>
      <c r="E4" s="2043"/>
      <c r="F4" s="2043"/>
      <c r="G4" s="2042">
        <v>1</v>
      </c>
      <c r="H4" s="1289"/>
      <c r="I4" s="1289"/>
      <c r="J4" s="1289"/>
      <c r="K4" s="1289"/>
      <c r="L4" s="1290"/>
      <c r="M4" s="1291"/>
      <c r="N4" s="1291"/>
      <c r="O4" s="1291"/>
      <c r="P4" s="275"/>
      <c r="Q4" s="273"/>
      <c r="R4" s="274"/>
      <c r="S4" s="1263" t="e">
        <f>INDEX(PT_DIFFERENTIATION_NUM_CS,MATCH(C4,PT_DIFFERENTIATION_CS_ID,0))</f>
        <v>#N/A</v>
      </c>
      <c r="T4" s="225" t="s">
        <v>474</v>
      </c>
      <c r="U4" s="214"/>
      <c r="V4" s="2036"/>
      <c r="W4" s="2037"/>
      <c r="X4" s="2037"/>
      <c r="Y4" s="2037"/>
      <c r="Z4" s="2037"/>
      <c r="AA4" s="2037"/>
      <c r="AB4" s="2037"/>
      <c r="AC4" s="2038"/>
      <c r="AD4" s="2036" t="e">
        <f>INDEX(PT_DIFFERENTIATION_CS,MATCH(C4,PT_DIFFERENTIATION_CS_ID,0))</f>
        <v>#N/A</v>
      </c>
      <c r="AE4" s="2037"/>
      <c r="AF4" s="2037"/>
      <c r="AG4" s="2037"/>
      <c r="AH4" s="2037"/>
      <c r="AI4" s="2037"/>
      <c r="AJ4" s="2037"/>
      <c r="AK4" s="2037"/>
      <c r="AL4" s="2038"/>
      <c r="AM4" s="1187" t="s">
        <v>475</v>
      </c>
      <c r="AO4" s="426"/>
      <c r="AP4" s="426" t="str">
        <f t="shared" si="0"/>
        <v xml:space="preserve">Наименование системы теплоснабжения </v>
      </c>
      <c r="AQ4" s="426"/>
      <c r="AR4" s="426"/>
    </row>
    <row r="5" spans="1:44" ht="21" hidden="1" customHeight="1">
      <c r="A5" s="1289"/>
      <c r="B5" s="1289"/>
      <c r="C5" s="1289"/>
      <c r="D5" s="1289"/>
      <c r="E5" s="2043"/>
      <c r="F5" s="2043"/>
      <c r="G5" s="2043"/>
      <c r="H5" s="2042">
        <v>1</v>
      </c>
      <c r="I5" s="1289"/>
      <c r="J5" s="1289"/>
      <c r="K5" s="1289"/>
      <c r="L5" s="1290"/>
      <c r="M5" s="1291"/>
      <c r="N5" s="1291"/>
      <c r="O5" s="1291"/>
      <c r="P5" s="275"/>
      <c r="Q5" s="273"/>
      <c r="R5" s="274"/>
      <c r="S5" s="1263" t="e">
        <f>INDEX(PT_DIFFERENTIATION_NUM_IST_TE,MATCH(D5,PT_DIFFERENTIATION_IST_TE_ID,0))</f>
        <v>#N/A</v>
      </c>
      <c r="T5" s="226" t="s">
        <v>476</v>
      </c>
      <c r="U5" s="214"/>
      <c r="V5" s="2036"/>
      <c r="W5" s="2037"/>
      <c r="X5" s="2037"/>
      <c r="Y5" s="2037"/>
      <c r="Z5" s="2037"/>
      <c r="AA5" s="2037"/>
      <c r="AB5" s="2037"/>
      <c r="AC5" s="2038"/>
      <c r="AD5" s="2036" t="e">
        <f>INDEX(PT_DIFFERENTIATION_IST_TE,MATCH(D5,PT_DIFFERENTIATION_IST_TE_ID,0))</f>
        <v>#N/A</v>
      </c>
      <c r="AE5" s="2037"/>
      <c r="AF5" s="2037"/>
      <c r="AG5" s="2037"/>
      <c r="AH5" s="2037"/>
      <c r="AI5" s="2037"/>
      <c r="AJ5" s="2037"/>
      <c r="AK5" s="2037"/>
      <c r="AL5" s="2038"/>
      <c r="AM5" s="1187" t="s">
        <v>477</v>
      </c>
      <c r="AO5" s="426"/>
      <c r="AP5" s="426" t="str">
        <f t="shared" si="0"/>
        <v xml:space="preserve">Источник тепловой энергии  </v>
      </c>
      <c r="AQ5" s="426"/>
      <c r="AR5" s="426"/>
    </row>
    <row r="6" spans="1:44" ht="14.25" hidden="1" customHeight="1">
      <c r="A6" s="1289"/>
      <c r="B6" s="1289"/>
      <c r="C6" s="1289"/>
      <c r="D6" s="1289"/>
      <c r="E6" s="2043"/>
      <c r="F6" s="2043"/>
      <c r="G6" s="2043"/>
      <c r="H6" s="2043"/>
      <c r="I6" s="2044" t="e">
        <f>S5&amp;".1"</f>
        <v>#N/A</v>
      </c>
      <c r="J6" s="1289"/>
      <c r="K6" s="1289"/>
      <c r="L6" s="1290" t="s">
        <v>478</v>
      </c>
      <c r="M6" s="462"/>
      <c r="P6" s="1961">
        <v>1</v>
      </c>
      <c r="Q6" s="1258"/>
      <c r="R6" s="277"/>
      <c r="S6" s="958"/>
      <c r="T6" s="1309"/>
      <c r="U6" s="1310"/>
      <c r="V6" s="2071"/>
      <c r="W6" s="2072"/>
      <c r="X6" s="2072"/>
      <c r="Y6" s="2072"/>
      <c r="Z6" s="2072"/>
      <c r="AA6" s="2072"/>
      <c r="AB6" s="2072"/>
      <c r="AC6" s="2073"/>
      <c r="AD6" s="2071"/>
      <c r="AE6" s="2072"/>
      <c r="AF6" s="2072"/>
      <c r="AG6" s="2072"/>
      <c r="AH6" s="2072"/>
      <c r="AI6" s="2072"/>
      <c r="AJ6" s="2072"/>
      <c r="AK6" s="2072"/>
      <c r="AL6" s="2073"/>
      <c r="AM6" s="1311"/>
      <c r="AO6" s="426"/>
      <c r="AP6" s="426" t="str">
        <f t="shared" si="0"/>
        <v/>
      </c>
      <c r="AQ6" s="426"/>
      <c r="AR6" s="426"/>
    </row>
    <row r="7" spans="1:44" ht="21" hidden="1" customHeight="1">
      <c r="A7" s="1289"/>
      <c r="B7" s="1289"/>
      <c r="C7" s="1289"/>
      <c r="D7" s="1289"/>
      <c r="E7" s="2043"/>
      <c r="F7" s="2043"/>
      <c r="G7" s="2043"/>
      <c r="H7" s="2043"/>
      <c r="I7" s="2045"/>
      <c r="J7" s="2044" t="e">
        <f>I6&amp;".1"</f>
        <v>#N/A</v>
      </c>
      <c r="K7" s="1289"/>
      <c r="L7" s="1290" t="s">
        <v>481</v>
      </c>
      <c r="M7" s="462"/>
      <c r="N7" s="1292"/>
      <c r="P7" s="1961"/>
      <c r="Q7" s="1961">
        <v>1</v>
      </c>
      <c r="R7" s="278"/>
      <c r="S7" s="1263" t="e">
        <f>$J7</f>
        <v>#N/A</v>
      </c>
      <c r="T7" s="201" t="s">
        <v>482</v>
      </c>
      <c r="U7" s="214"/>
      <c r="V7" s="2030"/>
      <c r="W7" s="2031"/>
      <c r="X7" s="2031"/>
      <c r="Y7" s="2031"/>
      <c r="Z7" s="2031"/>
      <c r="AA7" s="2031"/>
      <c r="AB7" s="2031"/>
      <c r="AC7" s="2032"/>
      <c r="AD7" s="2030"/>
      <c r="AE7" s="2031"/>
      <c r="AF7" s="2031"/>
      <c r="AG7" s="2031"/>
      <c r="AH7" s="2031"/>
      <c r="AI7" s="2031"/>
      <c r="AJ7" s="2031"/>
      <c r="AK7" s="2031"/>
      <c r="AL7" s="2032"/>
      <c r="AM7" s="1187" t="s">
        <v>483</v>
      </c>
      <c r="AO7" s="426"/>
      <c r="AP7" s="426" t="str">
        <f t="shared" si="0"/>
        <v>Группа потребителей</v>
      </c>
      <c r="AQ7" s="426"/>
      <c r="AR7" s="426"/>
    </row>
    <row r="8" spans="1:44" ht="21" hidden="1" customHeight="1">
      <c r="A8" s="1289"/>
      <c r="B8" s="1289"/>
      <c r="C8" s="1289"/>
      <c r="D8" s="1289"/>
      <c r="E8" s="2043"/>
      <c r="F8" s="2043"/>
      <c r="G8" s="2043"/>
      <c r="H8" s="2043"/>
      <c r="I8" s="2045"/>
      <c r="J8" s="2045"/>
      <c r="K8" s="2044" t="e">
        <f>J7&amp;".1"</f>
        <v>#N/A</v>
      </c>
      <c r="L8" s="1290" t="s">
        <v>484</v>
      </c>
      <c r="M8" s="462"/>
      <c r="N8" s="1292"/>
      <c r="O8" s="1292"/>
      <c r="P8" s="1961"/>
      <c r="Q8" s="1961"/>
      <c r="R8" s="278">
        <v>1</v>
      </c>
      <c r="S8" s="1263" t="e">
        <f>$K8</f>
        <v>#N/A</v>
      </c>
      <c r="T8" s="1274"/>
      <c r="U8" s="214"/>
      <c r="V8" s="669"/>
      <c r="W8" s="246"/>
      <c r="X8" s="669"/>
      <c r="Y8" s="1186"/>
      <c r="Z8" s="2046"/>
      <c r="AA8" s="1850" t="s">
        <v>58</v>
      </c>
      <c r="AB8" s="2046"/>
      <c r="AC8" s="1850" t="s">
        <v>58</v>
      </c>
      <c r="AD8" s="669"/>
      <c r="AE8" s="246"/>
      <c r="AF8" s="669"/>
      <c r="AG8" s="1186"/>
      <c r="AH8" s="2046"/>
      <c r="AI8" s="1850" t="s">
        <v>58</v>
      </c>
      <c r="AJ8" s="2046"/>
      <c r="AK8" s="1850" t="s">
        <v>58</v>
      </c>
      <c r="AL8" s="246"/>
      <c r="AM8" s="2064" t="s">
        <v>485</v>
      </c>
      <c r="AN8" s="437" t="e">
        <f ca="1">STRCHECKDATE(V9:AL9)</f>
        <v>#NAME?</v>
      </c>
      <c r="AO8" s="426"/>
      <c r="AP8" s="426" t="str">
        <f t="shared" si="0"/>
        <v/>
      </c>
      <c r="AQ8" s="426"/>
      <c r="AR8" s="426"/>
    </row>
    <row r="9" spans="1:44" ht="14.25" hidden="1" customHeight="1">
      <c r="A9" s="1289"/>
      <c r="B9" s="1289"/>
      <c r="C9" s="1289"/>
      <c r="D9" s="1289"/>
      <c r="E9" s="2043"/>
      <c r="F9" s="2043"/>
      <c r="G9" s="2043"/>
      <c r="H9" s="2043"/>
      <c r="I9" s="2045"/>
      <c r="J9" s="2045"/>
      <c r="K9" s="2044"/>
      <c r="L9" s="1290"/>
      <c r="M9" s="462"/>
      <c r="N9" s="1292"/>
      <c r="O9" s="1292"/>
      <c r="P9" s="1961"/>
      <c r="Q9" s="1961"/>
      <c r="R9" s="278"/>
      <c r="S9" s="1269"/>
      <c r="T9" s="214"/>
      <c r="U9" s="214"/>
      <c r="V9" s="246"/>
      <c r="W9" s="246"/>
      <c r="X9" s="246"/>
      <c r="Y9" s="250" t="str">
        <f>Z8&amp;"-"&amp;AB8</f>
        <v>-</v>
      </c>
      <c r="Z9" s="2047"/>
      <c r="AA9" s="1850"/>
      <c r="AB9" s="2047"/>
      <c r="AC9" s="1850"/>
      <c r="AD9" s="246"/>
      <c r="AE9" s="246"/>
      <c r="AF9" s="246"/>
      <c r="AG9" s="250" t="str">
        <f>AH8&amp;"-"&amp;AJ8</f>
        <v>-</v>
      </c>
      <c r="AH9" s="2047"/>
      <c r="AI9" s="1850"/>
      <c r="AJ9" s="2047"/>
      <c r="AK9" s="1850"/>
      <c r="AL9" s="246"/>
      <c r="AM9" s="2065"/>
      <c r="AO9" s="426"/>
      <c r="AP9" s="426" t="str">
        <f t="shared" si="0"/>
        <v/>
      </c>
      <c r="AQ9" s="426"/>
      <c r="AR9" s="426"/>
    </row>
    <row r="10" spans="1:44" ht="15" hidden="1" customHeight="1">
      <c r="A10" s="1289"/>
      <c r="B10" s="1289"/>
      <c r="C10" s="1289"/>
      <c r="D10" s="1289"/>
      <c r="E10" s="2043"/>
      <c r="F10" s="2043"/>
      <c r="G10" s="2043"/>
      <c r="H10" s="2043"/>
      <c r="I10" s="2045"/>
      <c r="J10" s="2044"/>
      <c r="K10" s="1289"/>
      <c r="L10" s="1290"/>
      <c r="M10" s="462"/>
      <c r="N10" s="1292"/>
      <c r="P10" s="1961"/>
      <c r="Q10" s="1961"/>
      <c r="R10" s="277"/>
      <c r="S10" s="1208"/>
      <c r="T10" s="202" t="s">
        <v>486</v>
      </c>
      <c r="U10" s="291"/>
      <c r="V10" s="291"/>
      <c r="W10" s="291"/>
      <c r="X10" s="291"/>
      <c r="Y10" s="291"/>
      <c r="Z10" s="291"/>
      <c r="AA10" s="291"/>
      <c r="AB10" s="291"/>
      <c r="AC10" s="291"/>
      <c r="AD10" s="291"/>
      <c r="AE10" s="291"/>
      <c r="AF10" s="291"/>
      <c r="AG10" s="291"/>
      <c r="AH10" s="291"/>
      <c r="AI10" s="291"/>
      <c r="AJ10" s="291"/>
      <c r="AK10" s="291"/>
      <c r="AL10" s="245"/>
      <c r="AM10" s="2066"/>
      <c r="AO10" s="426"/>
      <c r="AP10" s="426" t="str">
        <f t="shared" si="0"/>
        <v>Добавить вид теплоносителя (параметры теплоносителя)</v>
      </c>
      <c r="AQ10" s="426"/>
      <c r="AR10" s="426"/>
    </row>
    <row r="11" spans="1:44" ht="11.25" hidden="1" customHeight="1">
      <c r="A11" s="1289"/>
      <c r="B11" s="1289"/>
      <c r="C11" s="1289"/>
      <c r="D11" s="1289"/>
      <c r="E11" s="2043"/>
      <c r="F11" s="2043"/>
      <c r="G11" s="2043"/>
      <c r="H11" s="2043"/>
      <c r="I11" s="2044"/>
      <c r="J11" s="1289"/>
      <c r="K11" s="1289"/>
      <c r="L11" s="1290"/>
      <c r="M11" s="462"/>
      <c r="P11" s="1961"/>
      <c r="Q11" s="1258"/>
      <c r="R11" s="277"/>
      <c r="S11" s="1208"/>
      <c r="T11" s="288" t="s">
        <v>487</v>
      </c>
      <c r="U11" s="291"/>
      <c r="V11" s="291"/>
      <c r="W11" s="291"/>
      <c r="X11" s="291"/>
      <c r="Y11" s="291"/>
      <c r="Z11" s="291"/>
      <c r="AA11" s="291"/>
      <c r="AB11" s="291"/>
      <c r="AC11" s="290"/>
      <c r="AD11" s="291"/>
      <c r="AE11" s="291"/>
      <c r="AF11" s="291"/>
      <c r="AG11" s="291"/>
      <c r="AH11" s="291"/>
      <c r="AI11" s="291"/>
      <c r="AJ11" s="291"/>
      <c r="AK11" s="290"/>
      <c r="AL11" s="291"/>
      <c r="AM11" s="217"/>
      <c r="AO11" s="426"/>
      <c r="AP11" s="426" t="str">
        <f t="shared" si="0"/>
        <v>Добавить группу потребителей</v>
      </c>
      <c r="AQ11" s="426"/>
      <c r="AR11" s="426"/>
    </row>
    <row r="12" spans="1:44" ht="14.25" hidden="1" customHeight="1">
      <c r="A12" s="1289"/>
      <c r="B12" s="1289"/>
      <c r="C12" s="1289"/>
      <c r="D12" s="1289"/>
      <c r="E12" s="2043"/>
      <c r="F12" s="2043"/>
      <c r="G12" s="2043"/>
      <c r="H12" s="2042"/>
      <c r="I12" s="1289"/>
      <c r="J12" s="1289"/>
      <c r="K12" s="1289"/>
      <c r="L12" s="1290"/>
      <c r="M12" s="1291"/>
      <c r="N12" s="1291"/>
      <c r="O12" s="462"/>
      <c r="P12" s="281"/>
      <c r="Q12" s="299"/>
      <c r="R12" s="276"/>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26"/>
      <c r="AP12" s="426" t="str">
        <f t="shared" si="0"/>
        <v/>
      </c>
      <c r="AQ12" s="426"/>
      <c r="AR12" s="426"/>
    </row>
    <row r="13" spans="1:44" s="1567" customFormat="1" ht="14.25" hidden="1" customHeight="1">
      <c r="A13" s="1242"/>
      <c r="B13" s="1242"/>
      <c r="C13" s="1242"/>
      <c r="D13" s="1242"/>
      <c r="E13" s="2043"/>
      <c r="F13" s="2043"/>
      <c r="G13" s="2042"/>
      <c r="H13" s="1242"/>
      <c r="I13" s="1242"/>
      <c r="J13" s="1242"/>
      <c r="K13" s="1242"/>
      <c r="L13" s="1266"/>
      <c r="M13" s="1243"/>
      <c r="N13" s="1243"/>
      <c r="P13" s="1244"/>
      <c r="Q13" s="1245"/>
      <c r="R13" s="1244"/>
      <c r="S13" s="1246"/>
      <c r="T13" s="1247" t="s">
        <v>445</v>
      </c>
      <c r="U13" s="1248"/>
      <c r="V13" s="1248"/>
      <c r="W13" s="1248"/>
      <c r="X13" s="1248"/>
      <c r="Y13" s="1248"/>
      <c r="Z13" s="1248"/>
      <c r="AA13" s="1248"/>
      <c r="AB13" s="1248"/>
      <c r="AC13" s="1248"/>
      <c r="AD13" s="1248"/>
      <c r="AE13" s="1248"/>
      <c r="AF13" s="1248"/>
      <c r="AG13" s="1248"/>
      <c r="AH13" s="1248"/>
      <c r="AI13" s="1248"/>
      <c r="AJ13" s="1248"/>
      <c r="AK13" s="1248"/>
      <c r="AL13" s="1248"/>
      <c r="AM13" s="1248"/>
      <c r="AO13" s="707"/>
      <c r="AP13" s="707" t="str">
        <f t="shared" si="0"/>
        <v>Добавить источник для дифференциации</v>
      </c>
      <c r="AQ13" s="707"/>
      <c r="AR13" s="707"/>
    </row>
    <row r="14" spans="1:44" s="1567" customFormat="1" ht="14.25" hidden="1" customHeight="1">
      <c r="A14" s="1242"/>
      <c r="B14" s="1242"/>
      <c r="C14" s="1242"/>
      <c r="D14" s="1242"/>
      <c r="E14" s="2043"/>
      <c r="F14" s="2042"/>
      <c r="G14" s="1242"/>
      <c r="H14" s="1242"/>
      <c r="I14" s="1242"/>
      <c r="J14" s="1242"/>
      <c r="K14" s="1242"/>
      <c r="L14" s="1266"/>
      <c r="M14" s="1249"/>
      <c r="N14" s="1249"/>
      <c r="P14" s="1244"/>
      <c r="Q14" s="1245"/>
      <c r="R14" s="1244"/>
      <c r="S14" s="1250"/>
      <c r="T14" s="1251" t="s">
        <v>446</v>
      </c>
      <c r="U14" s="1252"/>
      <c r="V14" s="1252"/>
      <c r="W14" s="1252"/>
      <c r="X14" s="1252"/>
      <c r="Y14" s="1252"/>
      <c r="Z14" s="1252"/>
      <c r="AA14" s="1252"/>
      <c r="AB14" s="1252"/>
      <c r="AC14" s="1252"/>
      <c r="AD14" s="1252"/>
      <c r="AE14" s="1252"/>
      <c r="AF14" s="1252"/>
      <c r="AG14" s="1252"/>
      <c r="AH14" s="1252"/>
      <c r="AI14" s="1252"/>
      <c r="AJ14" s="1252"/>
      <c r="AK14" s="1252"/>
      <c r="AL14" s="1252"/>
      <c r="AM14" s="1252"/>
      <c r="AO14" s="707"/>
      <c r="AP14" s="707" t="str">
        <f t="shared" si="0"/>
        <v>Добавить централизованную систему для дифференциации</v>
      </c>
      <c r="AQ14" s="707"/>
      <c r="AR14" s="707"/>
    </row>
    <row r="15" spans="1:44" s="1567" customFormat="1" ht="14.25" hidden="1" customHeight="1">
      <c r="A15" s="1242"/>
      <c r="B15" s="1242"/>
      <c r="C15" s="1242"/>
      <c r="D15" s="1242"/>
      <c r="E15" s="2042"/>
      <c r="F15" s="1242"/>
      <c r="G15" s="1242"/>
      <c r="H15" s="1242"/>
      <c r="I15" s="1242"/>
      <c r="J15" s="1242"/>
      <c r="K15" s="1242"/>
      <c r="L15" s="1266"/>
      <c r="M15" s="1249"/>
      <c r="N15" s="1249"/>
      <c r="P15" s="1244"/>
      <c r="Q15" s="1245"/>
      <c r="R15" s="1244"/>
      <c r="S15" s="1250"/>
      <c r="T15" s="1253" t="s">
        <v>447</v>
      </c>
      <c r="U15" s="1252"/>
      <c r="V15" s="1252"/>
      <c r="W15" s="1252"/>
      <c r="X15" s="1252"/>
      <c r="Y15" s="1252"/>
      <c r="Z15" s="1252"/>
      <c r="AA15" s="1252"/>
      <c r="AB15" s="1252"/>
      <c r="AC15" s="1252"/>
      <c r="AD15" s="1252"/>
      <c r="AE15" s="1252"/>
      <c r="AF15" s="1252"/>
      <c r="AG15" s="1252"/>
      <c r="AH15" s="1252"/>
      <c r="AI15" s="1252"/>
      <c r="AJ15" s="1252"/>
      <c r="AK15" s="1252"/>
      <c r="AL15" s="1252"/>
      <c r="AM15" s="1252"/>
      <c r="AO15" s="707"/>
      <c r="AP15" s="707" t="str">
        <f t="shared" si="0"/>
        <v>Добавить территорию для дифференциации</v>
      </c>
      <c r="AQ15" s="707"/>
      <c r="AR15" s="707"/>
    </row>
    <row r="16" spans="1:44" ht="14.25" hidden="1" customHeight="1">
      <c r="AC16" s="249"/>
      <c r="AK16" s="249"/>
    </row>
    <row r="17" spans="1:44" ht="14.25" hidden="1" customHeight="1">
      <c r="AD17" s="1286"/>
      <c r="AE17" s="1286"/>
      <c r="AF17" s="1286"/>
      <c r="AG17" s="1287"/>
      <c r="AH17" s="2040"/>
      <c r="AI17" s="2039" t="s">
        <v>58</v>
      </c>
      <c r="AJ17" s="2040"/>
      <c r="AK17" s="2039" t="s">
        <v>58</v>
      </c>
    </row>
    <row r="18" spans="1:44" ht="14.25" hidden="1" customHeight="1">
      <c r="AD18" s="1286"/>
      <c r="AE18" s="1286"/>
      <c r="AF18" s="1286"/>
      <c r="AG18" s="250" t="str">
        <f>AH17&amp;"-"&amp;AJ17</f>
        <v>-</v>
      </c>
      <c r="AH18" s="2039"/>
      <c r="AI18" s="2039"/>
      <c r="AJ18" s="2039"/>
      <c r="AK18" s="2039"/>
    </row>
    <row r="19" spans="1:44" ht="14.25" hidden="1" customHeight="1">
      <c r="AK19" s="249"/>
    </row>
    <row r="20" spans="1:44" s="1292" customFormat="1" ht="22.5" hidden="1" customHeight="1">
      <c r="L20" s="1256"/>
      <c r="M20" s="1288"/>
      <c r="N20" s="1288"/>
      <c r="O20" s="1293" t="s">
        <v>489</v>
      </c>
      <c r="P20" s="1288"/>
      <c r="Q20" s="1297"/>
      <c r="R20" s="1297"/>
      <c r="S20" s="649"/>
      <c r="Z20" s="1293"/>
      <c r="AB20" s="1293"/>
      <c r="AH20" s="1293"/>
      <c r="AJ20" s="1293"/>
      <c r="AN20" s="437"/>
      <c r="AO20" s="437"/>
      <c r="AP20" s="437"/>
      <c r="AQ20" s="437"/>
      <c r="AR20" s="437"/>
    </row>
    <row r="21" spans="1:44" s="1292" customFormat="1" ht="14.25" hidden="1" customHeight="1">
      <c r="L21" s="1256"/>
      <c r="M21" s="1288"/>
      <c r="N21" s="1288"/>
      <c r="O21" s="1288"/>
      <c r="P21" s="1288"/>
      <c r="Q21" s="1297"/>
      <c r="R21" s="1297"/>
      <c r="S21" s="649"/>
      <c r="AN21" s="437"/>
      <c r="AO21" s="437"/>
      <c r="AP21" s="437"/>
      <c r="AQ21" s="437"/>
      <c r="AR21" s="437"/>
    </row>
    <row r="22" spans="1:44" s="1292" customFormat="1" ht="14.25" hidden="1" customHeight="1">
      <c r="L22" s="1256"/>
      <c r="M22" s="1288"/>
      <c r="N22" s="1288"/>
      <c r="O22" s="1290" t="s">
        <v>490</v>
      </c>
      <c r="P22" s="1288"/>
      <c r="Q22" s="1297"/>
      <c r="R22" s="1297"/>
      <c r="S22" s="649"/>
      <c r="T22" s="1070" t="s">
        <v>491</v>
      </c>
      <c r="AA22" s="104" t="s">
        <v>492</v>
      </c>
      <c r="AC22" s="104" t="s">
        <v>493</v>
      </c>
      <c r="AD22" s="1070" t="s">
        <v>491</v>
      </c>
      <c r="AI22" s="104" t="s">
        <v>494</v>
      </c>
      <c r="AK22" s="104" t="s">
        <v>493</v>
      </c>
      <c r="AN22" s="437"/>
      <c r="AO22" s="437"/>
      <c r="AP22" s="437"/>
      <c r="AQ22" s="437"/>
      <c r="AR22" s="437"/>
    </row>
    <row r="23" spans="1:44" ht="14.25" hidden="1" customHeight="1">
      <c r="O23" s="1290"/>
    </row>
    <row r="24" spans="1:44" ht="14.25" hidden="1" customHeight="1">
      <c r="O24" s="1290"/>
    </row>
    <row r="25" spans="1:44" ht="14.25" customHeight="1">
      <c r="Q25" s="300"/>
      <c r="R25" s="300"/>
      <c r="S25" s="1205"/>
      <c r="T25" s="286"/>
      <c r="U25" s="286"/>
      <c r="V25" s="435"/>
      <c r="W25" s="435"/>
      <c r="X25" s="435"/>
      <c r="Y25" s="435"/>
      <c r="Z25" s="435"/>
      <c r="AA25" s="435"/>
      <c r="AB25" s="435"/>
      <c r="AC25" s="435"/>
      <c r="AD25" s="435"/>
      <c r="AE25" s="435"/>
      <c r="AF25" s="435"/>
      <c r="AG25" s="435"/>
      <c r="AH25" s="435"/>
      <c r="AI25" s="435"/>
      <c r="AJ25" s="435"/>
      <c r="AK25" s="435"/>
    </row>
    <row r="26" spans="1:44" ht="64.5" customHeight="1">
      <c r="Q26" s="300"/>
      <c r="R26" s="300"/>
      <c r="S26" s="20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67"/>
      <c r="U26" s="2067"/>
      <c r="V26" s="2067"/>
      <c r="W26" s="2067"/>
      <c r="X26" s="2067"/>
      <c r="Y26" s="2067"/>
      <c r="Z26" s="2067"/>
      <c r="AA26" s="2067"/>
      <c r="AB26" s="2067"/>
      <c r="AC26" s="2067"/>
      <c r="AD26" s="2067"/>
      <c r="AE26" s="2067"/>
      <c r="AF26" s="2067"/>
      <c r="AG26" s="2067"/>
      <c r="AH26" s="2067"/>
      <c r="AI26" s="2067"/>
      <c r="AJ26" s="2067"/>
      <c r="AK26" s="1162"/>
    </row>
    <row r="27" spans="1:44" ht="14.25" customHeight="1">
      <c r="Q27" s="300"/>
      <c r="R27" s="300"/>
      <c r="S27" s="1927" t="str">
        <f>IF(org=0,"Не определено",org)</f>
        <v>НАО "СВЕЗА Мантурово"</v>
      </c>
      <c r="T27" s="1927"/>
      <c r="U27" s="1927"/>
      <c r="V27" s="1927"/>
      <c r="W27" s="1927"/>
      <c r="X27" s="1927"/>
      <c r="Y27" s="1927"/>
      <c r="Z27" s="1927"/>
      <c r="AA27" s="1927"/>
      <c r="AB27" s="1927"/>
      <c r="AC27" s="1927"/>
      <c r="AD27" s="1927"/>
      <c r="AE27" s="1927"/>
      <c r="AF27" s="1927"/>
      <c r="AG27" s="1927"/>
      <c r="AH27" s="1927"/>
      <c r="AI27" s="1927"/>
      <c r="AJ27" s="1927"/>
      <c r="AK27" s="1162"/>
    </row>
    <row r="28" spans="1:44" ht="14.25" hidden="1" customHeight="1">
      <c r="Q28" s="300"/>
      <c r="R28" s="300"/>
      <c r="S28" s="1205"/>
      <c r="T28" s="286"/>
      <c r="U28" s="286"/>
      <c r="V28" s="242"/>
      <c r="W28" s="242"/>
      <c r="X28" s="242"/>
      <c r="Y28" s="242"/>
      <c r="Z28" s="242"/>
      <c r="AA28" s="242"/>
      <c r="AB28" s="242"/>
      <c r="AC28" s="242"/>
      <c r="AD28" s="242"/>
      <c r="AE28" s="242"/>
      <c r="AF28" s="242"/>
      <c r="AG28" s="242"/>
      <c r="AH28" s="242"/>
      <c r="AI28" s="242"/>
      <c r="AJ28" s="242"/>
      <c r="AK28" s="242"/>
      <c r="AL28" s="435"/>
    </row>
    <row r="29" spans="1:44" s="1781" customFormat="1" ht="25.5" hidden="1" customHeight="1">
      <c r="A29" s="1294"/>
      <c r="B29" s="1294"/>
      <c r="C29" s="1294"/>
      <c r="D29" s="1294"/>
      <c r="E29" s="1294"/>
      <c r="F29" s="1294"/>
      <c r="G29" s="1294"/>
      <c r="H29" s="1294"/>
      <c r="I29" s="1294"/>
      <c r="J29" s="1294"/>
      <c r="K29" s="1294"/>
      <c r="L29" s="1295"/>
      <c r="M29" s="1294"/>
      <c r="N29" s="1294"/>
      <c r="O29" s="1294"/>
      <c r="S29" s="2033" t="s">
        <v>39</v>
      </c>
      <c r="T29" s="2033"/>
      <c r="U29" s="1298"/>
      <c r="V29" s="2035" t="str">
        <f>IF(TITLE_NAME_OR_PR_CHANGE="",IF(TITLE_NAME_OR_PR="","",TITLE_NAME_OR_PR),TITLE_NAME_OR_PR_CHANGE)</f>
        <v/>
      </c>
      <c r="W29" s="2035"/>
      <c r="X29" s="2035"/>
      <c r="Y29" s="2035"/>
      <c r="Z29" s="2035"/>
      <c r="AA29" s="2035"/>
      <c r="AB29" s="2035"/>
      <c r="AC29" s="248"/>
      <c r="AD29" s="2035" t="str">
        <f>IF(TITLE_NAME_OR_PR_CHANGE="",IF(TITLE_NAME_OR_PR="","",TITLE_NAME_OR_PR),TITLE_NAME_OR_PR_CHANGE)</f>
        <v/>
      </c>
      <c r="AE29" s="2035"/>
      <c r="AF29" s="2035"/>
      <c r="AG29" s="2035"/>
      <c r="AH29" s="2035"/>
      <c r="AI29" s="2035"/>
      <c r="AJ29" s="2035"/>
      <c r="AK29" s="248"/>
      <c r="AL29" s="248"/>
      <c r="AM29" s="196"/>
      <c r="AN29" s="292"/>
      <c r="AO29" s="292"/>
      <c r="AP29" s="292"/>
      <c r="AQ29" s="292"/>
      <c r="AR29" s="292"/>
    </row>
    <row r="30" spans="1:44" s="1781" customFormat="1" ht="18.75" hidden="1" customHeight="1">
      <c r="A30" s="1294"/>
      <c r="B30" s="1294"/>
      <c r="C30" s="1294"/>
      <c r="D30" s="1294"/>
      <c r="E30" s="1294"/>
      <c r="F30" s="1294"/>
      <c r="G30" s="1294"/>
      <c r="H30" s="1294"/>
      <c r="I30" s="1294"/>
      <c r="J30" s="1294"/>
      <c r="K30" s="1294"/>
      <c r="L30" s="1295"/>
      <c r="M30" s="1294"/>
      <c r="N30" s="1294"/>
      <c r="O30" s="1294"/>
      <c r="S30" s="2033" t="s">
        <v>495</v>
      </c>
      <c r="T30" s="2033"/>
      <c r="U30" s="1298"/>
      <c r="V30" s="2034" t="str">
        <f>IF(TITLE_DATE_CHANGE_PERIOD="",IF(TITLE_DATE_PR="","",TITLE_DATE_PR),TITLE_DATE_CHANGE_PERIOD)</f>
        <v/>
      </c>
      <c r="W30" s="2034"/>
      <c r="X30" s="2034"/>
      <c r="Y30" s="2034"/>
      <c r="Z30" s="2034"/>
      <c r="AA30" s="2034"/>
      <c r="AB30" s="2034"/>
      <c r="AC30" s="248"/>
      <c r="AD30" s="2034" t="str">
        <f>IF(TITLE_DATE_CHANGE_PERIOD="",IF(TITLE_DATE_PR="","",TITLE_DATE_PR),TITLE_DATE_CHANGE_PERIOD)</f>
        <v/>
      </c>
      <c r="AE30" s="2034"/>
      <c r="AF30" s="2034"/>
      <c r="AG30" s="2034"/>
      <c r="AH30" s="2034"/>
      <c r="AI30" s="2034"/>
      <c r="AJ30" s="2034"/>
      <c r="AK30" s="248"/>
      <c r="AL30" s="248"/>
      <c r="AM30" s="196"/>
      <c r="AN30" s="292"/>
      <c r="AO30" s="292"/>
      <c r="AP30" s="292"/>
      <c r="AQ30" s="292"/>
      <c r="AR30" s="292"/>
    </row>
    <row r="31" spans="1:44" s="1781" customFormat="1" ht="18.75" hidden="1" customHeight="1">
      <c r="A31" s="1294"/>
      <c r="B31" s="1294"/>
      <c r="C31" s="1294"/>
      <c r="D31" s="1294"/>
      <c r="E31" s="1294"/>
      <c r="F31" s="1294"/>
      <c r="G31" s="1294"/>
      <c r="H31" s="1294"/>
      <c r="I31" s="1294"/>
      <c r="J31" s="1294"/>
      <c r="K31" s="1294"/>
      <c r="L31" s="1295"/>
      <c r="M31" s="1294"/>
      <c r="N31" s="1294"/>
      <c r="O31" s="1294"/>
      <c r="S31" s="2033" t="s">
        <v>496</v>
      </c>
      <c r="T31" s="2033"/>
      <c r="U31" s="1298"/>
      <c r="V31" s="2035" t="str">
        <f>IF(TITLE_NUMBER_PR_CHANGE="",IF(TITLE_NUMBER_PR="","",TITLE_NUMBER_PR),TITLE_NUMBER_PR_CHANGE)</f>
        <v/>
      </c>
      <c r="W31" s="2035"/>
      <c r="X31" s="2035"/>
      <c r="Y31" s="2035"/>
      <c r="Z31" s="2035"/>
      <c r="AA31" s="2035"/>
      <c r="AB31" s="2035"/>
      <c r="AC31" s="248"/>
      <c r="AD31" s="2035" t="str">
        <f>IF(TITLE_NUMBER_PR_CHANGE="",IF(TITLE_NUMBER_PR="","",TITLE_NUMBER_PR),TITLE_NUMBER_PR_CHANGE)</f>
        <v/>
      </c>
      <c r="AE31" s="2035"/>
      <c r="AF31" s="2035"/>
      <c r="AG31" s="2035"/>
      <c r="AH31" s="2035"/>
      <c r="AI31" s="2035"/>
      <c r="AJ31" s="2035"/>
      <c r="AK31" s="248"/>
      <c r="AL31" s="248"/>
      <c r="AM31" s="196"/>
      <c r="AN31" s="292"/>
      <c r="AO31" s="292"/>
      <c r="AP31" s="292"/>
      <c r="AQ31" s="292"/>
      <c r="AR31" s="292"/>
    </row>
    <row r="32" spans="1:44" s="1781" customFormat="1" ht="18.75" hidden="1" customHeight="1">
      <c r="A32" s="1294"/>
      <c r="B32" s="1294"/>
      <c r="C32" s="1294"/>
      <c r="D32" s="1294"/>
      <c r="E32" s="1294"/>
      <c r="F32" s="1294"/>
      <c r="G32" s="1294"/>
      <c r="H32" s="1294"/>
      <c r="I32" s="1294"/>
      <c r="J32" s="1294"/>
      <c r="K32" s="1294"/>
      <c r="L32" s="1295"/>
      <c r="M32" s="1294"/>
      <c r="N32" s="1294"/>
      <c r="O32" s="1294"/>
      <c r="S32" s="2033" t="s">
        <v>40</v>
      </c>
      <c r="T32" s="2033"/>
      <c r="U32" s="1298"/>
      <c r="V32" s="2035" t="str">
        <f>IF(TITLE_IST_PUB_CHANGE="",IF(TITLE_IST_PUB="","",TITLE_IST_PUB),TITLE_IST_PUB_CHANGE)</f>
        <v/>
      </c>
      <c r="W32" s="2035"/>
      <c r="X32" s="2035"/>
      <c r="Y32" s="2035"/>
      <c r="Z32" s="2035"/>
      <c r="AA32" s="2035"/>
      <c r="AB32" s="2035"/>
      <c r="AC32" s="248"/>
      <c r="AD32" s="2035" t="str">
        <f>IF(TITLE_IST_PUB_CHANGE="",IF(TITLE_IST_PUB="","",TITLE_IST_PUB),TITLE_IST_PUB_CHANGE)</f>
        <v/>
      </c>
      <c r="AE32" s="2035"/>
      <c r="AF32" s="2035"/>
      <c r="AG32" s="2035"/>
      <c r="AH32" s="2035"/>
      <c r="AI32" s="2035"/>
      <c r="AJ32" s="2035"/>
      <c r="AK32" s="248"/>
      <c r="AL32" s="248"/>
      <c r="AM32" s="196"/>
      <c r="AN32" s="292"/>
      <c r="AO32" s="292"/>
      <c r="AP32" s="292"/>
      <c r="AQ32" s="292"/>
      <c r="AR32" s="292"/>
    </row>
    <row r="33" spans="1:44" ht="14.25" hidden="1" customHeight="1">
      <c r="Q33" s="300"/>
      <c r="R33" s="300"/>
      <c r="S33" s="1205"/>
      <c r="T33" s="286"/>
      <c r="U33" s="286"/>
      <c r="V33" s="242"/>
      <c r="W33" s="242"/>
      <c r="X33" s="242"/>
      <c r="Y33" s="242"/>
      <c r="Z33" s="242"/>
      <c r="AA33" s="242"/>
      <c r="AB33" s="242"/>
      <c r="AC33" s="242"/>
      <c r="AD33" s="242"/>
      <c r="AE33" s="242"/>
      <c r="AF33" s="242"/>
      <c r="AG33" s="242"/>
      <c r="AH33" s="242"/>
      <c r="AI33" s="242"/>
      <c r="AJ33" s="242"/>
      <c r="AK33" s="242"/>
      <c r="AL33" s="435"/>
    </row>
    <row r="34" spans="1:44" s="1781" customFormat="1" ht="18.75" hidden="1" customHeight="1">
      <c r="A34" s="1294"/>
      <c r="B34" s="1294"/>
      <c r="C34" s="1294"/>
      <c r="D34" s="1294"/>
      <c r="E34" s="1294"/>
      <c r="F34" s="1294"/>
      <c r="G34" s="1294"/>
      <c r="H34" s="1294"/>
      <c r="I34" s="1294"/>
      <c r="J34" s="1294"/>
      <c r="K34" s="1294"/>
      <c r="L34" s="1295"/>
      <c r="M34" s="1294"/>
      <c r="N34" s="1294"/>
      <c r="O34" s="1294"/>
      <c r="S34" s="2033" t="s">
        <v>497</v>
      </c>
      <c r="T34" s="2033"/>
      <c r="U34" s="1298"/>
      <c r="V34" s="2034" t="str">
        <f>IF(TITLE_DATE_CHANGE_PERIOD="",IF(TITLE_DATE_PR="","",TITLE_DATE_PR),TITLE_DATE_CHANGE_PERIOD)</f>
        <v/>
      </c>
      <c r="W34" s="2034"/>
      <c r="X34" s="2034"/>
      <c r="Y34" s="2034"/>
      <c r="Z34" s="2034"/>
      <c r="AA34" s="2034"/>
      <c r="AB34" s="2034"/>
      <c r="AC34" s="248"/>
      <c r="AD34" s="2034" t="str">
        <f>IF(TITLE_DATE_CHANGE_PERIOD="",IF(TITLE_DATE_PR="","",TITLE_DATE_PR),TITLE_DATE_CHANGE_PERIOD)</f>
        <v/>
      </c>
      <c r="AE34" s="2034"/>
      <c r="AF34" s="2034"/>
      <c r="AG34" s="2034"/>
      <c r="AH34" s="2034"/>
      <c r="AI34" s="2034"/>
      <c r="AJ34" s="2034"/>
      <c r="AK34" s="248"/>
      <c r="AL34" s="248"/>
      <c r="AM34" s="196"/>
      <c r="AN34" s="292"/>
      <c r="AO34" s="292"/>
      <c r="AP34" s="292"/>
      <c r="AQ34" s="292"/>
      <c r="AR34" s="292"/>
    </row>
    <row r="35" spans="1:44" s="1781" customFormat="1" ht="25.5" hidden="1" customHeight="1">
      <c r="A35" s="1294"/>
      <c r="B35" s="1294"/>
      <c r="C35" s="1294"/>
      <c r="D35" s="1294"/>
      <c r="E35" s="1294"/>
      <c r="F35" s="1294"/>
      <c r="G35" s="1294"/>
      <c r="H35" s="1294"/>
      <c r="I35" s="1294"/>
      <c r="J35" s="1294"/>
      <c r="K35" s="1294"/>
      <c r="L35" s="1295"/>
      <c r="M35" s="1294"/>
      <c r="N35" s="1294"/>
      <c r="O35" s="1294"/>
      <c r="S35" s="2033" t="s">
        <v>498</v>
      </c>
      <c r="T35" s="2033"/>
      <c r="U35" s="1298"/>
      <c r="V35" s="2035" t="str">
        <f>IF(TITLE_NUMBER_PR_CHANGE="",IF(TITLE_NUMBER_PR="","",TITLE_NUMBER_PR),TITLE_NUMBER_PR_CHANGE)</f>
        <v/>
      </c>
      <c r="W35" s="2035"/>
      <c r="X35" s="2035"/>
      <c r="Y35" s="2035"/>
      <c r="Z35" s="2035"/>
      <c r="AA35" s="2035"/>
      <c r="AB35" s="2035"/>
      <c r="AC35" s="248"/>
      <c r="AD35" s="2035" t="str">
        <f>IF(TITLE_NUMBER_PR_CHANGE="",IF(TITLE_NUMBER_PR="","",TITLE_NUMBER_PR),TITLE_NUMBER_PR_CHANGE)</f>
        <v/>
      </c>
      <c r="AE35" s="2035"/>
      <c r="AF35" s="2035"/>
      <c r="AG35" s="2035"/>
      <c r="AH35" s="2035"/>
      <c r="AI35" s="2035"/>
      <c r="AJ35" s="2035"/>
      <c r="AK35" s="248"/>
      <c r="AL35" s="248"/>
      <c r="AM35" s="196"/>
      <c r="AN35" s="292"/>
      <c r="AO35" s="292"/>
      <c r="AP35" s="292"/>
      <c r="AQ35" s="292"/>
      <c r="AR35" s="292"/>
    </row>
    <row r="36" spans="1:44" s="1781" customFormat="1" ht="0" hidden="1" customHeight="1">
      <c r="A36" s="1294"/>
      <c r="B36" s="1294"/>
      <c r="C36" s="1294"/>
      <c r="D36" s="1294"/>
      <c r="E36" s="1294"/>
      <c r="F36" s="1294"/>
      <c r="G36" s="1294"/>
      <c r="H36" s="1294"/>
      <c r="I36" s="1294"/>
      <c r="J36" s="1294"/>
      <c r="K36" s="1294"/>
      <c r="L36" s="1295"/>
      <c r="M36" s="1294"/>
      <c r="N36" s="1294"/>
      <c r="O36" s="1294"/>
      <c r="S36" s="244"/>
      <c r="T36" s="244"/>
      <c r="U36" s="1267"/>
      <c r="V36" s="248"/>
      <c r="W36" s="248"/>
      <c r="X36" s="248"/>
      <c r="Y36" s="248"/>
      <c r="Z36" s="248"/>
      <c r="AA36" s="248"/>
      <c r="AB36" s="248"/>
      <c r="AC36" s="194" t="s">
        <v>499</v>
      </c>
      <c r="AD36" s="248"/>
      <c r="AE36" s="248"/>
      <c r="AF36" s="248"/>
      <c r="AG36" s="248"/>
      <c r="AH36" s="248"/>
      <c r="AI36" s="248"/>
      <c r="AJ36" s="248"/>
      <c r="AK36" s="194" t="s">
        <v>499</v>
      </c>
      <c r="AN36" s="292"/>
      <c r="AO36" s="292"/>
      <c r="AP36" s="292"/>
      <c r="AQ36" s="292"/>
      <c r="AR36" s="292"/>
    </row>
    <row r="37" spans="1:44" ht="14.25" customHeight="1">
      <c r="Q37" s="300"/>
      <c r="R37" s="300"/>
      <c r="S37" s="1205"/>
      <c r="T37" s="286"/>
      <c r="U37" s="1163"/>
      <c r="V37" s="2053"/>
      <c r="W37" s="2053"/>
      <c r="X37" s="2053"/>
      <c r="Y37" s="2053"/>
      <c r="Z37" s="2053"/>
      <c r="AA37" s="2053"/>
      <c r="AB37" s="2053"/>
      <c r="AC37" s="2053"/>
      <c r="AD37" s="2053"/>
      <c r="AE37" s="2053"/>
      <c r="AF37" s="2053"/>
      <c r="AG37" s="2053"/>
      <c r="AH37" s="2053"/>
      <c r="AI37" s="2053"/>
      <c r="AJ37" s="2053"/>
      <c r="AK37" s="2053"/>
    </row>
    <row r="38" spans="1:44" ht="14.25" customHeight="1">
      <c r="Q38" s="300"/>
      <c r="R38" s="300"/>
      <c r="S38" s="1840" t="s">
        <v>282</v>
      </c>
      <c r="T38" s="1840"/>
      <c r="U38" s="1840"/>
      <c r="V38" s="1840"/>
      <c r="W38" s="1840"/>
      <c r="X38" s="1840"/>
      <c r="Y38" s="1840"/>
      <c r="Z38" s="1840"/>
      <c r="AA38" s="1840"/>
      <c r="AB38" s="1840"/>
      <c r="AC38" s="1840"/>
      <c r="AD38" s="1840"/>
      <c r="AE38" s="1840"/>
      <c r="AF38" s="1840"/>
      <c r="AG38" s="1840"/>
      <c r="AH38" s="1840"/>
      <c r="AI38" s="1840"/>
      <c r="AJ38" s="1840"/>
      <c r="AK38" s="1840"/>
      <c r="AL38" s="1840"/>
      <c r="AM38" s="1840" t="s">
        <v>283</v>
      </c>
    </row>
    <row r="39" spans="1:44" ht="14.25" customHeight="1">
      <c r="Q39" s="300"/>
      <c r="R39" s="300"/>
      <c r="S39" s="2054" t="s">
        <v>87</v>
      </c>
      <c r="T39" s="1925" t="s">
        <v>500</v>
      </c>
      <c r="U39" s="215"/>
      <c r="V39" s="2055" t="s">
        <v>501</v>
      </c>
      <c r="W39" s="2056"/>
      <c r="X39" s="2056"/>
      <c r="Y39" s="2056"/>
      <c r="Z39" s="2056"/>
      <c r="AA39" s="2056"/>
      <c r="AB39" s="2057"/>
      <c r="AC39" s="2058" t="s">
        <v>502</v>
      </c>
      <c r="AD39" s="2055" t="s">
        <v>501</v>
      </c>
      <c r="AE39" s="2056"/>
      <c r="AF39" s="2056"/>
      <c r="AG39" s="2056"/>
      <c r="AH39" s="2056"/>
      <c r="AI39" s="2056"/>
      <c r="AJ39" s="2057"/>
      <c r="AK39" s="2058" t="s">
        <v>503</v>
      </c>
      <c r="AL39" s="2061" t="s">
        <v>504</v>
      </c>
      <c r="AM39" s="1840"/>
    </row>
    <row r="40" spans="1:44" ht="33.75" customHeight="1">
      <c r="Q40" s="300"/>
      <c r="R40" s="300"/>
      <c r="S40" s="2054"/>
      <c r="T40" s="1925"/>
      <c r="U40" s="947"/>
      <c r="V40" s="1894" t="s">
        <v>505</v>
      </c>
      <c r="W40" s="2050"/>
      <c r="X40" s="1822" t="s">
        <v>507</v>
      </c>
      <c r="Y40" s="1821"/>
      <c r="Z40" s="1822" t="s">
        <v>508</v>
      </c>
      <c r="AA40" s="1827"/>
      <c r="AB40" s="1821"/>
      <c r="AC40" s="2059"/>
      <c r="AD40" s="1894" t="s">
        <v>505</v>
      </c>
      <c r="AE40" s="2050"/>
      <c r="AF40" s="1822" t="s">
        <v>507</v>
      </c>
      <c r="AG40" s="1821"/>
      <c r="AH40" s="1822" t="s">
        <v>508</v>
      </c>
      <c r="AI40" s="1827"/>
      <c r="AJ40" s="1821"/>
      <c r="AK40" s="2059"/>
      <c r="AL40" s="2062"/>
      <c r="AM40" s="1840"/>
    </row>
    <row r="41" spans="1:44" ht="33.75" customHeight="1">
      <c r="A41" s="1296"/>
      <c r="B41" s="1296" t="s">
        <v>131</v>
      </c>
      <c r="C41" s="1296" t="s">
        <v>132</v>
      </c>
      <c r="D41" s="1296" t="s">
        <v>133</v>
      </c>
      <c r="E41" s="1290" t="s">
        <v>509</v>
      </c>
      <c r="F41" s="1290" t="s">
        <v>510</v>
      </c>
      <c r="G41" s="1290" t="s">
        <v>511</v>
      </c>
      <c r="H41" s="1290" t="s">
        <v>512</v>
      </c>
      <c r="I41" s="1290" t="s">
        <v>513</v>
      </c>
      <c r="J41" s="1290" t="s">
        <v>514</v>
      </c>
      <c r="K41" s="1290" t="s">
        <v>515</v>
      </c>
      <c r="L41" s="1290" t="s">
        <v>490</v>
      </c>
      <c r="Q41" s="300"/>
      <c r="R41" s="300"/>
      <c r="S41" s="2054"/>
      <c r="T41" s="1925"/>
      <c r="U41" s="216"/>
      <c r="V41" s="1950"/>
      <c r="W41" s="2051"/>
      <c r="X41" s="1138" t="s">
        <v>516</v>
      </c>
      <c r="Y41" s="1138" t="s">
        <v>517</v>
      </c>
      <c r="Z41" s="1265" t="s">
        <v>518</v>
      </c>
      <c r="AA41" s="1931" t="s">
        <v>519</v>
      </c>
      <c r="AB41" s="1945"/>
      <c r="AC41" s="2060"/>
      <c r="AD41" s="1950"/>
      <c r="AE41" s="2051"/>
      <c r="AF41" s="1138" t="s">
        <v>516</v>
      </c>
      <c r="AG41" s="1138" t="s">
        <v>517</v>
      </c>
      <c r="AH41" s="1265" t="s">
        <v>518</v>
      </c>
      <c r="AI41" s="1931" t="s">
        <v>519</v>
      </c>
      <c r="AJ41" s="1945"/>
      <c r="AK41" s="2060"/>
      <c r="AL41" s="2063"/>
      <c r="AM41" s="1840"/>
    </row>
    <row r="42" spans="1:44" s="1566" customFormat="1" ht="11.25" hidden="1" customHeight="1">
      <c r="A42" s="1296"/>
      <c r="B42" s="1296"/>
      <c r="C42" s="1296"/>
      <c r="D42" s="1296"/>
      <c r="E42" s="1296"/>
      <c r="F42" s="1296"/>
      <c r="G42" s="1296"/>
      <c r="H42" s="1296"/>
      <c r="I42" s="1296"/>
      <c r="J42" s="1296"/>
      <c r="K42" s="1296"/>
      <c r="L42" s="1290"/>
      <c r="M42" s="1288"/>
      <c r="N42" s="1288"/>
      <c r="O42" s="1288"/>
      <c r="P42" s="1165"/>
      <c r="Q42" s="1166"/>
      <c r="R42" s="1181">
        <v>1</v>
      </c>
      <c r="S42" s="1207" t="s">
        <v>105</v>
      </c>
      <c r="T42" s="1182" t="s">
        <v>106</v>
      </c>
      <c r="U42" s="1164" t="str">
        <f ca="1">OFFSET(U42,0,-1)</f>
        <v>2</v>
      </c>
      <c r="V42" s="1262">
        <f ca="1">OFFSET(V42,0,-1)+1</f>
        <v>3</v>
      </c>
      <c r="W42" s="1262"/>
      <c r="X42" s="1262">
        <f ca="1">OFFSET(X42,0,-1)+1</f>
        <v>1</v>
      </c>
      <c r="Y42" s="1262">
        <f ca="1">OFFSET(Y42,0,-1)+1</f>
        <v>2</v>
      </c>
      <c r="Z42" s="1262">
        <f ca="1">OFFSET(Z42,0,-1)+1</f>
        <v>3</v>
      </c>
      <c r="AA42" s="2052">
        <f ca="1">OFFSET(AA42,0,-1)+1</f>
        <v>4</v>
      </c>
      <c r="AB42" s="2052"/>
      <c r="AC42" s="1262">
        <f ca="1">OFFSET(AC42,0,-2)+1</f>
        <v>5</v>
      </c>
      <c r="AD42" s="1262">
        <f ca="1">OFFSET(AD42,0,-1)+1</f>
        <v>6</v>
      </c>
      <c r="AE42" s="1262"/>
      <c r="AF42" s="1262">
        <f ca="1">OFFSET(AF42,0,-1)+1</f>
        <v>1</v>
      </c>
      <c r="AG42" s="1262">
        <f ca="1">OFFSET(AG42,0,-1)+1</f>
        <v>2</v>
      </c>
      <c r="AH42" s="1262">
        <f ca="1">OFFSET(AH42,0,-1)+1</f>
        <v>3</v>
      </c>
      <c r="AI42" s="2052">
        <f ca="1">OFFSET(AI42,0,-1)+1</f>
        <v>4</v>
      </c>
      <c r="AJ42" s="2052"/>
      <c r="AK42" s="1262">
        <f ca="1">OFFSET(AK42,0,-2)+1</f>
        <v>5</v>
      </c>
      <c r="AL42" s="1164">
        <f ca="1">OFFSET(AL42,0,-1)</f>
        <v>5</v>
      </c>
      <c r="AM42" s="1262">
        <f ca="1">OFFSET(AM42,0,-1)+1</f>
        <v>6</v>
      </c>
      <c r="AN42" s="437"/>
      <c r="AO42" s="437"/>
      <c r="AP42" s="437"/>
      <c r="AQ42" s="437"/>
      <c r="AR42" s="437"/>
    </row>
    <row r="43" spans="1:44" ht="21" customHeight="1">
      <c r="A43" s="1289" t="s">
        <v>182</v>
      </c>
      <c r="B43" s="1289"/>
      <c r="C43" s="1289"/>
      <c r="D43" s="1289"/>
      <c r="E43" s="2042">
        <v>1</v>
      </c>
      <c r="F43" s="1289"/>
      <c r="G43" s="1289"/>
      <c r="H43" s="1289"/>
      <c r="I43" s="1289"/>
      <c r="J43" s="1289"/>
      <c r="K43" s="1289"/>
      <c r="L43" s="1290"/>
      <c r="M43" s="1291"/>
      <c r="N43" s="1291"/>
      <c r="O43" s="1291"/>
      <c r="P43" s="282"/>
      <c r="Q43" s="281"/>
      <c r="R43" s="276"/>
      <c r="S43" s="1263">
        <f>INDEX(PT_DIFFERENTIATION_NUM_NTAR,MATCH(A43,PT_DIFFERENTIATION_NTAR_ID,0))</f>
        <v>0</v>
      </c>
      <c r="T43" s="212" t="s">
        <v>119</v>
      </c>
      <c r="U43" s="214"/>
      <c r="V43" s="2036"/>
      <c r="W43" s="2037"/>
      <c r="X43" s="2037"/>
      <c r="Y43" s="2037"/>
      <c r="Z43" s="2037"/>
      <c r="AA43" s="2037"/>
      <c r="AB43" s="2037"/>
      <c r="AC43" s="2038"/>
      <c r="AD43" s="2036" t="str">
        <f>INDEX(PT_DIFFERENTIATION_NTAR,MATCH(A43,PT_DIFFERENTIATION_NTAR_ID,0))</f>
        <v/>
      </c>
      <c r="AE43" s="2037"/>
      <c r="AF43" s="2037"/>
      <c r="AG43" s="2037"/>
      <c r="AH43" s="2037"/>
      <c r="AI43" s="2037"/>
      <c r="AJ43" s="2037"/>
      <c r="AK43" s="2037"/>
      <c r="AL43" s="2038"/>
      <c r="AM43" s="11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6"/>
      <c r="AP43" s="426" t="str">
        <f t="shared" ref="AP43:AP57" si="1">IF(T43="","",T43)</f>
        <v>Наименование тарифа</v>
      </c>
      <c r="AQ43" s="426"/>
      <c r="AR43" s="426"/>
    </row>
    <row r="44" spans="1:44" ht="21" customHeight="1">
      <c r="A44" s="1289" t="s">
        <v>182</v>
      </c>
      <c r="B44" s="1289" t="s">
        <v>183</v>
      </c>
      <c r="C44" s="1289"/>
      <c r="D44" s="1289"/>
      <c r="E44" s="2043"/>
      <c r="F44" s="2042">
        <v>1</v>
      </c>
      <c r="G44" s="1289"/>
      <c r="H44" s="1289"/>
      <c r="I44" s="1289"/>
      <c r="J44" s="1289"/>
      <c r="K44" s="1289"/>
      <c r="L44" s="1290"/>
      <c r="M44" s="1291"/>
      <c r="N44" s="1291"/>
      <c r="O44" s="1291"/>
      <c r="P44" s="1259"/>
      <c r="Q44" s="273"/>
      <c r="R44" s="274"/>
      <c r="S44" s="1263" t="str">
        <f>INDEX(PT_DIFFERENTIATION_NUM_TER,MATCH(B44,PT_DIFFERENTIATION_TER_ID,0))</f>
        <v>.</v>
      </c>
      <c r="T44" s="224" t="s">
        <v>472</v>
      </c>
      <c r="U44" s="214"/>
      <c r="V44" s="2036"/>
      <c r="W44" s="2037"/>
      <c r="X44" s="2037"/>
      <c r="Y44" s="2037"/>
      <c r="Z44" s="2037"/>
      <c r="AA44" s="2037"/>
      <c r="AB44" s="2037"/>
      <c r="AC44" s="2038"/>
      <c r="AD44" s="2036" t="str">
        <f>INDEX(PT_DIFFERENTIATION_TER,MATCH(B44,PT_DIFFERENTIATION_TER_ID,0))</f>
        <v/>
      </c>
      <c r="AE44" s="2037"/>
      <c r="AF44" s="2037"/>
      <c r="AG44" s="2037"/>
      <c r="AH44" s="2037"/>
      <c r="AI44" s="2037"/>
      <c r="AJ44" s="2037"/>
      <c r="AK44" s="2037"/>
      <c r="AL44" s="2038"/>
      <c r="AM44" s="1187" t="s">
        <v>473</v>
      </c>
      <c r="AO44" s="426"/>
      <c r="AP44" s="426" t="str">
        <f t="shared" si="1"/>
        <v>Территория действия тарифа</v>
      </c>
      <c r="AQ44" s="426"/>
      <c r="AR44" s="426"/>
    </row>
    <row r="45" spans="1:44" ht="23.25" customHeight="1">
      <c r="A45" s="1289" t="s">
        <v>182</v>
      </c>
      <c r="B45" s="1289" t="s">
        <v>183</v>
      </c>
      <c r="C45" s="1289" t="s">
        <v>184</v>
      </c>
      <c r="D45" s="1289"/>
      <c r="E45" s="2043"/>
      <c r="F45" s="2043"/>
      <c r="G45" s="2042">
        <v>1</v>
      </c>
      <c r="H45" s="1289"/>
      <c r="I45" s="1289"/>
      <c r="J45" s="1289"/>
      <c r="K45" s="1289"/>
      <c r="L45" s="1290"/>
      <c r="M45" s="1291"/>
      <c r="N45" s="1291"/>
      <c r="O45" s="1291"/>
      <c r="P45" s="275"/>
      <c r="Q45" s="273"/>
      <c r="R45" s="274"/>
      <c r="S45" s="1263" t="str">
        <f>INDEX(PT_DIFFERENTIATION_NUM_CS,MATCH(C45,PT_DIFFERENTIATION_CS_ID,0))</f>
        <v>..</v>
      </c>
      <c r="T45" s="225" t="s">
        <v>474</v>
      </c>
      <c r="U45" s="214"/>
      <c r="V45" s="2036"/>
      <c r="W45" s="2037"/>
      <c r="X45" s="2037"/>
      <c r="Y45" s="2037"/>
      <c r="Z45" s="2037"/>
      <c r="AA45" s="2037"/>
      <c r="AB45" s="2037"/>
      <c r="AC45" s="2038"/>
      <c r="AD45" s="2036" t="str">
        <f>INDEX(PT_DIFFERENTIATION_CS,MATCH(C45,PT_DIFFERENTIATION_CS_ID,0))</f>
        <v/>
      </c>
      <c r="AE45" s="2037"/>
      <c r="AF45" s="2037"/>
      <c r="AG45" s="2037"/>
      <c r="AH45" s="2037"/>
      <c r="AI45" s="2037"/>
      <c r="AJ45" s="2037"/>
      <c r="AK45" s="2037"/>
      <c r="AL45" s="2038"/>
      <c r="AM45" s="1187" t="s">
        <v>475</v>
      </c>
      <c r="AO45" s="426"/>
      <c r="AP45" s="426" t="str">
        <f t="shared" si="1"/>
        <v xml:space="preserve">Наименование системы теплоснабжения </v>
      </c>
      <c r="AQ45" s="426"/>
      <c r="AR45" s="426"/>
    </row>
    <row r="46" spans="1:44" ht="21" customHeight="1">
      <c r="A46" s="1289" t="s">
        <v>182</v>
      </c>
      <c r="B46" s="1289" t="s">
        <v>183</v>
      </c>
      <c r="C46" s="1289" t="s">
        <v>184</v>
      </c>
      <c r="D46" s="1289" t="s">
        <v>185</v>
      </c>
      <c r="E46" s="2043"/>
      <c r="F46" s="2043"/>
      <c r="G46" s="2043"/>
      <c r="H46" s="2042">
        <v>1</v>
      </c>
      <c r="I46" s="1289"/>
      <c r="J46" s="1289"/>
      <c r="K46" s="1289"/>
      <c r="L46" s="1290"/>
      <c r="M46" s="1291"/>
      <c r="N46" s="1291"/>
      <c r="O46" s="1291"/>
      <c r="P46" s="275"/>
      <c r="Q46" s="273"/>
      <c r="R46" s="274"/>
      <c r="S46" s="1263" t="str">
        <f>INDEX(PT_DIFFERENTIATION_NUM_IST_TE,MATCH(D46,PT_DIFFERENTIATION_IST_TE_ID,0))</f>
        <v>...</v>
      </c>
      <c r="T46" s="226" t="s">
        <v>476</v>
      </c>
      <c r="U46" s="214"/>
      <c r="V46" s="2036"/>
      <c r="W46" s="2037"/>
      <c r="X46" s="2037"/>
      <c r="Y46" s="2037"/>
      <c r="Z46" s="2037"/>
      <c r="AA46" s="2037"/>
      <c r="AB46" s="2037"/>
      <c r="AC46" s="2038"/>
      <c r="AD46" s="2036" t="str">
        <f>INDEX(PT_DIFFERENTIATION_IST_TE,MATCH(D46,PT_DIFFERENTIATION_IST_TE_ID,0))</f>
        <v/>
      </c>
      <c r="AE46" s="2037"/>
      <c r="AF46" s="2037"/>
      <c r="AG46" s="2037"/>
      <c r="AH46" s="2037"/>
      <c r="AI46" s="2037"/>
      <c r="AJ46" s="2037"/>
      <c r="AK46" s="2037"/>
      <c r="AL46" s="2038"/>
      <c r="AM46" s="1187" t="s">
        <v>477</v>
      </c>
      <c r="AO46" s="426"/>
      <c r="AP46" s="426" t="str">
        <f t="shared" si="1"/>
        <v xml:space="preserve">Источник тепловой энергии  </v>
      </c>
      <c r="AQ46" s="426"/>
      <c r="AR46" s="426"/>
    </row>
    <row r="47" spans="1:44" s="1567" customFormat="1" ht="0" hidden="1" customHeight="1">
      <c r="A47" s="1270" t="s">
        <v>182</v>
      </c>
      <c r="B47" s="1270" t="s">
        <v>183</v>
      </c>
      <c r="C47" s="1270" t="s">
        <v>184</v>
      </c>
      <c r="D47" s="1270" t="s">
        <v>185</v>
      </c>
      <c r="E47" s="2043"/>
      <c r="F47" s="2043"/>
      <c r="G47" s="2043"/>
      <c r="H47" s="2043"/>
      <c r="I47" s="2044" t="str">
        <f>S46&amp;".1"</f>
        <v>....1</v>
      </c>
      <c r="J47" s="1270"/>
      <c r="K47" s="1270"/>
      <c r="L47" s="1273" t="s">
        <v>478</v>
      </c>
      <c r="M47" s="436"/>
      <c r="N47" s="436"/>
      <c r="O47" s="436"/>
      <c r="P47" s="1961">
        <v>1</v>
      </c>
      <c r="Q47" s="1258"/>
      <c r="R47" s="277"/>
      <c r="S47" s="958"/>
      <c r="T47" s="1309"/>
      <c r="U47" s="1310"/>
      <c r="V47" s="2071"/>
      <c r="W47" s="2072"/>
      <c r="X47" s="2072"/>
      <c r="Y47" s="2072"/>
      <c r="Z47" s="2072"/>
      <c r="AA47" s="2072"/>
      <c r="AB47" s="2072"/>
      <c r="AC47" s="2073"/>
      <c r="AD47" s="2071"/>
      <c r="AE47" s="2072"/>
      <c r="AF47" s="2072"/>
      <c r="AG47" s="2072"/>
      <c r="AH47" s="2072"/>
      <c r="AI47" s="2072"/>
      <c r="AJ47" s="2072"/>
      <c r="AK47" s="2072"/>
      <c r="AL47" s="2073"/>
      <c r="AM47" s="1311"/>
      <c r="AO47" s="426"/>
      <c r="AP47" s="426" t="str">
        <f t="shared" si="1"/>
        <v/>
      </c>
      <c r="AQ47" s="426"/>
      <c r="AR47" s="426"/>
    </row>
    <row r="48" spans="1:44" ht="21" customHeight="1">
      <c r="A48" s="1289" t="s">
        <v>182</v>
      </c>
      <c r="B48" s="1289" t="s">
        <v>183</v>
      </c>
      <c r="C48" s="1289" t="s">
        <v>184</v>
      </c>
      <c r="D48" s="1289" t="s">
        <v>185</v>
      </c>
      <c r="E48" s="2043"/>
      <c r="F48" s="2043"/>
      <c r="G48" s="2043"/>
      <c r="H48" s="2043"/>
      <c r="I48" s="2045"/>
      <c r="J48" s="2044" t="str">
        <f>S46&amp;".1"</f>
        <v>....1</v>
      </c>
      <c r="K48" s="1289"/>
      <c r="L48" s="1290" t="s">
        <v>481</v>
      </c>
      <c r="P48" s="1961"/>
      <c r="Q48" s="1961">
        <v>1</v>
      </c>
      <c r="R48" s="278"/>
      <c r="S48" s="1263" t="str">
        <f>$J48</f>
        <v>....1</v>
      </c>
      <c r="T48" s="201" t="s">
        <v>482</v>
      </c>
      <c r="U48" s="214"/>
      <c r="V48" s="2030"/>
      <c r="W48" s="2031"/>
      <c r="X48" s="2031"/>
      <c r="Y48" s="2031"/>
      <c r="Z48" s="2031"/>
      <c r="AA48" s="2031"/>
      <c r="AB48" s="2031"/>
      <c r="AC48" s="2032"/>
      <c r="AD48" s="2030"/>
      <c r="AE48" s="2031"/>
      <c r="AF48" s="2031"/>
      <c r="AG48" s="2031"/>
      <c r="AH48" s="2031"/>
      <c r="AI48" s="2031"/>
      <c r="AJ48" s="2031"/>
      <c r="AK48" s="2031"/>
      <c r="AL48" s="2032"/>
      <c r="AM48" s="1187" t="s">
        <v>483</v>
      </c>
      <c r="AO48" s="426"/>
      <c r="AP48" s="426" t="str">
        <f t="shared" si="1"/>
        <v>Группа потребителей</v>
      </c>
      <c r="AQ48" s="426"/>
      <c r="AR48" s="426"/>
    </row>
    <row r="49" spans="1:44" ht="21" customHeight="1">
      <c r="A49" s="1289" t="s">
        <v>182</v>
      </c>
      <c r="B49" s="1289" t="s">
        <v>183</v>
      </c>
      <c r="C49" s="1289" t="s">
        <v>184</v>
      </c>
      <c r="D49" s="1289" t="s">
        <v>185</v>
      </c>
      <c r="E49" s="2043"/>
      <c r="F49" s="2043"/>
      <c r="G49" s="2043"/>
      <c r="H49" s="2043"/>
      <c r="I49" s="2045"/>
      <c r="J49" s="2045"/>
      <c r="K49" s="2044" t="str">
        <f>J48&amp;".1"</f>
        <v>....1.1</v>
      </c>
      <c r="L49" s="1290" t="s">
        <v>484</v>
      </c>
      <c r="P49" s="1961"/>
      <c r="Q49" s="1961"/>
      <c r="R49" s="278">
        <v>1</v>
      </c>
      <c r="S49" s="1263" t="str">
        <f>$K49</f>
        <v>....1.1</v>
      </c>
      <c r="T49" s="1274"/>
      <c r="U49" s="214"/>
      <c r="V49" s="669"/>
      <c r="W49" s="246"/>
      <c r="X49" s="669"/>
      <c r="Y49" s="1186"/>
      <c r="Z49" s="2046"/>
      <c r="AA49" s="1850" t="s">
        <v>58</v>
      </c>
      <c r="AB49" s="2046"/>
      <c r="AC49" s="1850" t="s">
        <v>58</v>
      </c>
      <c r="AD49" s="669"/>
      <c r="AE49" s="246"/>
      <c r="AF49" s="669"/>
      <c r="AG49" s="1186"/>
      <c r="AH49" s="2046"/>
      <c r="AI49" s="1850" t="s">
        <v>58</v>
      </c>
      <c r="AJ49" s="2048"/>
      <c r="AK49" s="1850" t="s">
        <v>58</v>
      </c>
      <c r="AL49" s="1275"/>
      <c r="AM49" s="2064" t="s">
        <v>528</v>
      </c>
      <c r="AN49" s="437" t="e">
        <f ca="1">STRCHECKDATE(V50:AL50)</f>
        <v>#NAME?</v>
      </c>
      <c r="AO49" s="426"/>
      <c r="AP49" s="426" t="str">
        <f t="shared" si="1"/>
        <v/>
      </c>
      <c r="AQ49" s="426"/>
      <c r="AR49" s="426"/>
    </row>
    <row r="50" spans="1:44" ht="0" hidden="1" customHeight="1">
      <c r="A50" s="1289" t="s">
        <v>182</v>
      </c>
      <c r="B50" s="1289" t="s">
        <v>183</v>
      </c>
      <c r="C50" s="1289" t="s">
        <v>184</v>
      </c>
      <c r="D50" s="1289" t="s">
        <v>185</v>
      </c>
      <c r="E50" s="2043"/>
      <c r="F50" s="2043"/>
      <c r="G50" s="2043"/>
      <c r="H50" s="2043"/>
      <c r="I50" s="2045"/>
      <c r="J50" s="2045"/>
      <c r="K50" s="2044"/>
      <c r="L50" s="1290"/>
      <c r="P50" s="1961"/>
      <c r="Q50" s="1961"/>
      <c r="R50" s="278"/>
      <c r="S50" s="1269"/>
      <c r="T50" s="214"/>
      <c r="U50" s="214"/>
      <c r="V50" s="246"/>
      <c r="W50" s="246"/>
      <c r="X50" s="246"/>
      <c r="Y50" s="250" t="str">
        <f>Z49&amp;"-"&amp;AB49</f>
        <v>-</v>
      </c>
      <c r="Z50" s="2047"/>
      <c r="AA50" s="1850"/>
      <c r="AB50" s="2047"/>
      <c r="AC50" s="1850"/>
      <c r="AD50" s="246"/>
      <c r="AE50" s="246"/>
      <c r="AF50" s="246"/>
      <c r="AG50" s="250" t="str">
        <f>AH49&amp;"-"&amp;AJ49</f>
        <v>-</v>
      </c>
      <c r="AH50" s="2047"/>
      <c r="AI50" s="1850"/>
      <c r="AJ50" s="2049"/>
      <c r="AK50" s="1850"/>
      <c r="AL50" s="1276"/>
      <c r="AM50" s="2065"/>
      <c r="AO50" s="426"/>
      <c r="AP50" s="426" t="str">
        <f t="shared" si="1"/>
        <v/>
      </c>
      <c r="AQ50" s="426"/>
      <c r="AR50" s="426"/>
    </row>
    <row r="51" spans="1:44" ht="11.25" customHeight="1">
      <c r="A51" s="1289" t="s">
        <v>182</v>
      </c>
      <c r="B51" s="1289" t="s">
        <v>183</v>
      </c>
      <c r="C51" s="1289" t="s">
        <v>184</v>
      </c>
      <c r="D51" s="1289" t="s">
        <v>185</v>
      </c>
      <c r="E51" s="2043"/>
      <c r="F51" s="2043"/>
      <c r="G51" s="2043"/>
      <c r="H51" s="2043"/>
      <c r="I51" s="2045"/>
      <c r="J51" s="2044"/>
      <c r="K51" s="1289"/>
      <c r="L51" s="1290"/>
      <c r="P51" s="1961"/>
      <c r="Q51" s="1961"/>
      <c r="R51" s="277"/>
      <c r="S51" s="1208"/>
      <c r="T51" s="202" t="s">
        <v>486</v>
      </c>
      <c r="U51" s="291"/>
      <c r="V51" s="291"/>
      <c r="W51" s="291"/>
      <c r="X51" s="291"/>
      <c r="Y51" s="291"/>
      <c r="Z51" s="291"/>
      <c r="AA51" s="291"/>
      <c r="AB51" s="291"/>
      <c r="AC51" s="291"/>
      <c r="AD51" s="291"/>
      <c r="AE51" s="291"/>
      <c r="AF51" s="291"/>
      <c r="AG51" s="291"/>
      <c r="AH51" s="291"/>
      <c r="AI51" s="291"/>
      <c r="AJ51" s="291"/>
      <c r="AK51" s="291"/>
      <c r="AL51" s="245"/>
      <c r="AM51" s="2066"/>
      <c r="AO51" s="426"/>
      <c r="AP51" s="426" t="str">
        <f t="shared" si="1"/>
        <v>Добавить вид теплоносителя (параметры теплоносителя)</v>
      </c>
      <c r="AQ51" s="426"/>
      <c r="AR51" s="426"/>
    </row>
    <row r="52" spans="1:44" ht="11.25" customHeight="1">
      <c r="A52" s="1289" t="s">
        <v>182</v>
      </c>
      <c r="B52" s="1289" t="s">
        <v>183</v>
      </c>
      <c r="C52" s="1289" t="s">
        <v>184</v>
      </c>
      <c r="D52" s="1289" t="s">
        <v>185</v>
      </c>
      <c r="E52" s="2043"/>
      <c r="F52" s="2043"/>
      <c r="G52" s="2043"/>
      <c r="H52" s="2043"/>
      <c r="I52" s="2044"/>
      <c r="J52" s="1289"/>
      <c r="K52" s="1289"/>
      <c r="L52" s="1290"/>
      <c r="P52" s="1961"/>
      <c r="Q52" s="1258"/>
      <c r="R52" s="277"/>
      <c r="S52" s="1208"/>
      <c r="T52" s="288" t="s">
        <v>487</v>
      </c>
      <c r="U52" s="291"/>
      <c r="V52" s="291"/>
      <c r="W52" s="291"/>
      <c r="X52" s="291"/>
      <c r="Y52" s="291"/>
      <c r="Z52" s="291"/>
      <c r="AA52" s="291"/>
      <c r="AB52" s="291"/>
      <c r="AC52" s="290"/>
      <c r="AD52" s="291"/>
      <c r="AE52" s="291"/>
      <c r="AF52" s="291"/>
      <c r="AG52" s="291"/>
      <c r="AH52" s="291"/>
      <c r="AI52" s="291"/>
      <c r="AJ52" s="291"/>
      <c r="AK52" s="290"/>
      <c r="AL52" s="291"/>
      <c r="AM52" s="217"/>
      <c r="AO52" s="426"/>
      <c r="AP52" s="426" t="str">
        <f t="shared" si="1"/>
        <v>Добавить группу потребителей</v>
      </c>
      <c r="AQ52" s="426"/>
      <c r="AR52" s="426"/>
    </row>
    <row r="53" spans="1:44" ht="0" hidden="1" customHeight="1">
      <c r="A53" s="1289" t="s">
        <v>182</v>
      </c>
      <c r="B53" s="1289" t="s">
        <v>183</v>
      </c>
      <c r="C53" s="1289" t="s">
        <v>184</v>
      </c>
      <c r="D53" s="1289" t="s">
        <v>185</v>
      </c>
      <c r="E53" s="2043"/>
      <c r="F53" s="2043"/>
      <c r="G53" s="2043"/>
      <c r="H53" s="2042"/>
      <c r="I53" s="1289"/>
      <c r="J53" s="1289"/>
      <c r="K53" s="1289"/>
      <c r="L53" s="1290"/>
      <c r="M53" s="1291"/>
      <c r="N53" s="1291"/>
      <c r="O53" s="462"/>
      <c r="P53" s="281"/>
      <c r="Q53" s="299"/>
      <c r="R53" s="276"/>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26"/>
      <c r="AP53" s="426" t="str">
        <f t="shared" si="1"/>
        <v/>
      </c>
      <c r="AQ53" s="426"/>
      <c r="AR53" s="426"/>
    </row>
    <row r="54" spans="1:44" s="1567" customFormat="1" ht="0" hidden="1" customHeight="1">
      <c r="A54" s="1270" t="s">
        <v>182</v>
      </c>
      <c r="B54" s="1270" t="s">
        <v>183</v>
      </c>
      <c r="C54" s="1270" t="s">
        <v>184</v>
      </c>
      <c r="D54" s="1242"/>
      <c r="E54" s="2043"/>
      <c r="F54" s="2043"/>
      <c r="G54" s="2042"/>
      <c r="H54" s="1242"/>
      <c r="I54" s="1242"/>
      <c r="J54" s="1242"/>
      <c r="K54" s="1242"/>
      <c r="L54" s="1266"/>
      <c r="M54" s="1243"/>
      <c r="N54" s="1243"/>
      <c r="P54" s="1244"/>
      <c r="Q54" s="1245"/>
      <c r="R54" s="1244"/>
      <c r="S54" s="1250"/>
      <c r="T54" s="1253" t="s">
        <v>445</v>
      </c>
      <c r="U54" s="1252"/>
      <c r="V54" s="1252"/>
      <c r="W54" s="1252"/>
      <c r="X54" s="1252"/>
      <c r="Y54" s="1252"/>
      <c r="Z54" s="1252"/>
      <c r="AA54" s="1252"/>
      <c r="AB54" s="1252"/>
      <c r="AC54" s="1252"/>
      <c r="AD54" s="1252"/>
      <c r="AE54" s="1252"/>
      <c r="AF54" s="1252"/>
      <c r="AG54" s="1252"/>
      <c r="AH54" s="1252"/>
      <c r="AI54" s="1252"/>
      <c r="AJ54" s="1252"/>
      <c r="AK54" s="1252"/>
      <c r="AL54" s="1252"/>
      <c r="AM54" s="1252"/>
      <c r="AO54" s="707"/>
      <c r="AP54" s="707" t="str">
        <f t="shared" si="1"/>
        <v>Добавить источник для дифференциации</v>
      </c>
      <c r="AQ54" s="707"/>
      <c r="AR54" s="707"/>
    </row>
    <row r="55" spans="1:44" s="1567" customFormat="1" ht="0" hidden="1" customHeight="1">
      <c r="A55" s="1270" t="s">
        <v>182</v>
      </c>
      <c r="B55" s="1270" t="s">
        <v>183</v>
      </c>
      <c r="C55" s="1242"/>
      <c r="D55" s="1242"/>
      <c r="E55" s="2043"/>
      <c r="F55" s="2042"/>
      <c r="G55" s="1242"/>
      <c r="H55" s="1242"/>
      <c r="I55" s="1242"/>
      <c r="J55" s="1242"/>
      <c r="K55" s="1242"/>
      <c r="L55" s="1266"/>
      <c r="M55" s="1249"/>
      <c r="N55" s="1249"/>
      <c r="P55" s="1244"/>
      <c r="Q55" s="1245"/>
      <c r="R55" s="1244"/>
      <c r="S55" s="1250"/>
      <c r="T55" s="1253" t="s">
        <v>446</v>
      </c>
      <c r="U55" s="1252"/>
      <c r="V55" s="1252"/>
      <c r="W55" s="1252"/>
      <c r="X55" s="1252"/>
      <c r="Y55" s="1252"/>
      <c r="Z55" s="1252"/>
      <c r="AA55" s="1252"/>
      <c r="AB55" s="1252"/>
      <c r="AC55" s="1252"/>
      <c r="AD55" s="1252"/>
      <c r="AE55" s="1252"/>
      <c r="AF55" s="1252"/>
      <c r="AG55" s="1252"/>
      <c r="AH55" s="1252"/>
      <c r="AI55" s="1252"/>
      <c r="AJ55" s="1252"/>
      <c r="AK55" s="1252"/>
      <c r="AL55" s="1252"/>
      <c r="AM55" s="1252"/>
      <c r="AO55" s="707"/>
      <c r="AP55" s="707" t="str">
        <f t="shared" si="1"/>
        <v>Добавить централизованную систему для дифференциации</v>
      </c>
      <c r="AQ55" s="707"/>
      <c r="AR55" s="707"/>
    </row>
    <row r="56" spans="1:44" s="1567" customFormat="1" ht="0" hidden="1" customHeight="1">
      <c r="A56" s="1270" t="s">
        <v>182</v>
      </c>
      <c r="B56" s="1270"/>
      <c r="C56" s="1270"/>
      <c r="D56" s="1270"/>
      <c r="E56" s="2042"/>
      <c r="F56" s="1270"/>
      <c r="G56" s="1270"/>
      <c r="H56" s="1270"/>
      <c r="I56" s="1270"/>
      <c r="J56" s="1270"/>
      <c r="K56" s="1270"/>
      <c r="L56" s="1273"/>
      <c r="M56" s="1249"/>
      <c r="N56" s="1249"/>
      <c r="O56" s="444"/>
      <c r="P56" s="308"/>
      <c r="Q56" s="1271"/>
      <c r="R56" s="308"/>
      <c r="S56" s="1250"/>
      <c r="T56" s="1253" t="s">
        <v>447</v>
      </c>
      <c r="U56" s="1252"/>
      <c r="V56" s="1252"/>
      <c r="W56" s="1252"/>
      <c r="X56" s="1252"/>
      <c r="Y56" s="1252"/>
      <c r="Z56" s="1252"/>
      <c r="AA56" s="1252"/>
      <c r="AB56" s="1252"/>
      <c r="AC56" s="1252"/>
      <c r="AD56" s="1252"/>
      <c r="AE56" s="1252"/>
      <c r="AF56" s="1252"/>
      <c r="AG56" s="1252"/>
      <c r="AH56" s="1252"/>
      <c r="AI56" s="1252"/>
      <c r="AJ56" s="1252"/>
      <c r="AK56" s="1252"/>
      <c r="AL56" s="1252"/>
      <c r="AM56" s="1252"/>
      <c r="AO56" s="426"/>
      <c r="AP56" s="426" t="str">
        <f t="shared" si="1"/>
        <v>Добавить территорию для дифференциации</v>
      </c>
      <c r="AQ56" s="426"/>
      <c r="AR56" s="426"/>
    </row>
    <row r="57" spans="1:44" s="1567" customFormat="1" ht="5.25" customHeight="1">
      <c r="A57" s="1242"/>
      <c r="B57" s="1242"/>
      <c r="C57" s="1242"/>
      <c r="D57" s="1242"/>
      <c r="E57" s="1270"/>
      <c r="F57" s="1242"/>
      <c r="G57" s="1242"/>
      <c r="H57" s="1242"/>
      <c r="I57" s="1242"/>
      <c r="J57" s="1242"/>
      <c r="K57" s="1242"/>
      <c r="L57" s="1266"/>
      <c r="M57" s="1249"/>
      <c r="N57" s="1249"/>
      <c r="P57" s="1244"/>
      <c r="Q57" s="1245"/>
      <c r="R57" s="1244"/>
      <c r="S57" s="1250"/>
      <c r="T57" s="1253" t="s">
        <v>448</v>
      </c>
      <c r="U57" s="1252"/>
      <c r="V57" s="1252"/>
      <c r="W57" s="1252"/>
      <c r="X57" s="1252"/>
      <c r="Y57" s="1252"/>
      <c r="Z57" s="1252"/>
      <c r="AA57" s="1252"/>
      <c r="AB57" s="1252"/>
      <c r="AC57" s="1252"/>
      <c r="AD57" s="1252"/>
      <c r="AE57" s="1252"/>
      <c r="AF57" s="1252"/>
      <c r="AG57" s="1252"/>
      <c r="AH57" s="1252"/>
      <c r="AI57" s="1252"/>
      <c r="AJ57" s="1252"/>
      <c r="AK57" s="1252"/>
      <c r="AL57" s="1252"/>
      <c r="AM57" s="1252"/>
      <c r="AO57" s="707"/>
      <c r="AP57" s="707" t="str">
        <f t="shared" si="1"/>
        <v>Добавить наименование тарифа</v>
      </c>
      <c r="AQ57" s="707"/>
      <c r="AR57" s="707"/>
    </row>
    <row r="58" spans="1:44" ht="11.25" hidden="1" customHeight="1">
      <c r="M58" s="1070"/>
      <c r="N58" s="1070"/>
      <c r="O58" s="462"/>
      <c r="P58" s="1065"/>
      <c r="Q58" s="1065"/>
      <c r="R58" s="1065"/>
      <c r="S58" s="1065"/>
      <c r="AN58" s="1065"/>
      <c r="AO58" s="1065"/>
      <c r="AP58" s="1065"/>
      <c r="AQ58" s="1065"/>
      <c r="AR58" s="1065"/>
    </row>
    <row r="59" spans="1:44" ht="14.25" hidden="1" customHeight="1">
      <c r="O59" s="462"/>
      <c r="S59" s="1174" t="s">
        <v>520</v>
      </c>
      <c r="T59" s="2041" t="s">
        <v>529</v>
      </c>
      <c r="U59" s="2041"/>
      <c r="V59" s="2041"/>
      <c r="W59" s="2041"/>
      <c r="X59" s="2041"/>
      <c r="Y59" s="2041"/>
      <c r="Z59" s="2041"/>
      <c r="AA59" s="2041"/>
      <c r="AB59" s="2041"/>
      <c r="AC59" s="2041"/>
      <c r="AD59" s="2041"/>
      <c r="AE59" s="2041"/>
      <c r="AF59" s="2041"/>
      <c r="AG59" s="2041"/>
      <c r="AH59" s="2041"/>
      <c r="AI59" s="2041"/>
      <c r="AJ59" s="2041"/>
      <c r="AK59" s="2041"/>
      <c r="AL59" s="2041"/>
      <c r="AM59" s="2041"/>
    </row>
    <row r="60" spans="1:44" ht="14.25" hidden="1" customHeight="1">
      <c r="O60" s="462"/>
      <c r="T60" s="2041" t="s">
        <v>530</v>
      </c>
      <c r="U60" s="2041"/>
      <c r="V60" s="2041"/>
      <c r="W60" s="2041"/>
      <c r="X60" s="2041"/>
      <c r="Y60" s="2041"/>
      <c r="Z60" s="2041"/>
      <c r="AA60" s="2041"/>
      <c r="AB60" s="2041"/>
      <c r="AC60" s="2041"/>
      <c r="AD60" s="2041"/>
      <c r="AE60" s="2041"/>
      <c r="AF60" s="2041"/>
      <c r="AG60" s="2041"/>
      <c r="AH60" s="2041"/>
      <c r="AI60" s="2041"/>
      <c r="AJ60" s="2041"/>
      <c r="AK60" s="2041"/>
      <c r="AL60" s="2041"/>
      <c r="AM60" s="2041"/>
    </row>
    <row r="61" spans="1:44" ht="14.25" hidden="1" customHeight="1">
      <c r="O61" s="462"/>
      <c r="T61" s="2041" t="s">
        <v>531</v>
      </c>
      <c r="U61" s="2041"/>
      <c r="V61" s="2041"/>
      <c r="W61" s="2041"/>
      <c r="X61" s="2041"/>
      <c r="Y61" s="2041"/>
      <c r="Z61" s="2041"/>
      <c r="AA61" s="2041"/>
      <c r="AB61" s="2041"/>
      <c r="AC61" s="2041"/>
      <c r="AD61" s="2041"/>
      <c r="AE61" s="2041"/>
      <c r="AF61" s="2041"/>
      <c r="AG61" s="2041"/>
      <c r="AH61" s="2041"/>
      <c r="AI61" s="2041"/>
      <c r="AJ61" s="2041"/>
      <c r="AK61" s="2041"/>
      <c r="AL61" s="2041"/>
      <c r="AM61" s="2041"/>
    </row>
    <row r="62" spans="1:44" ht="14.25" hidden="1" customHeight="1">
      <c r="O62" s="462"/>
    </row>
    <row r="63" spans="1:44" ht="14.25" hidden="1" customHeight="1">
      <c r="O63" s="462"/>
      <c r="S63" s="1174" t="s">
        <v>520</v>
      </c>
      <c r="T63" s="1880" t="s">
        <v>523</v>
      </c>
      <c r="U63" s="2041"/>
      <c r="V63" s="2041"/>
      <c r="W63" s="2041"/>
      <c r="X63" s="2041"/>
      <c r="Y63" s="2041"/>
      <c r="Z63" s="2041"/>
      <c r="AA63" s="2041"/>
      <c r="AB63" s="2041"/>
      <c r="AC63" s="2041"/>
      <c r="AD63" s="2041"/>
      <c r="AE63" s="2041"/>
      <c r="AF63" s="2041"/>
      <c r="AG63" s="2041"/>
      <c r="AH63" s="2041"/>
      <c r="AI63" s="2041"/>
      <c r="AJ63" s="2041"/>
      <c r="AK63" s="2041"/>
      <c r="AL63" s="2041"/>
      <c r="AM63" s="2041"/>
    </row>
    <row r="64" spans="1:44" ht="14.25" hidden="1" customHeight="1">
      <c r="O64" s="462"/>
      <c r="T64" s="2041" t="s">
        <v>532</v>
      </c>
      <c r="U64" s="2041"/>
      <c r="V64" s="2041"/>
      <c r="W64" s="2041"/>
      <c r="X64" s="2041"/>
      <c r="Y64" s="2041"/>
      <c r="Z64" s="2041"/>
      <c r="AA64" s="2041"/>
      <c r="AB64" s="2041"/>
      <c r="AC64" s="2041"/>
      <c r="AD64" s="2041"/>
      <c r="AE64" s="2041"/>
      <c r="AF64" s="2041"/>
      <c r="AG64" s="2041"/>
      <c r="AH64" s="2041"/>
      <c r="AI64" s="2041"/>
      <c r="AJ64" s="2041"/>
      <c r="AK64" s="2041"/>
      <c r="AL64" s="2041"/>
      <c r="AM64" s="2041"/>
    </row>
    <row r="65" spans="20:39" ht="14.25" hidden="1" customHeight="1">
      <c r="T65" s="2041" t="s">
        <v>533</v>
      </c>
      <c r="U65" s="2041"/>
      <c r="V65" s="2041"/>
      <c r="W65" s="2041"/>
      <c r="X65" s="2041"/>
      <c r="Y65" s="2041"/>
      <c r="Z65" s="2041"/>
      <c r="AA65" s="2041"/>
      <c r="AB65" s="2041"/>
      <c r="AC65" s="2041"/>
      <c r="AD65" s="2041"/>
      <c r="AE65" s="2041"/>
      <c r="AF65" s="2041"/>
      <c r="AG65" s="2041"/>
      <c r="AH65" s="2041"/>
      <c r="AI65" s="2041"/>
      <c r="AJ65" s="2041"/>
      <c r="AK65" s="2041"/>
      <c r="AL65" s="2041"/>
      <c r="AM65" s="2041"/>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3"/>
  <sheetViews>
    <sheetView showGridLines="0" topLeftCell="R29" zoomScale="90" workbookViewId="0"/>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2" width="11.3984375" style="1560" hidden="1" customWidth="1"/>
    <col min="13" max="13" width="19.09765625" style="1791" hidden="1" customWidth="1"/>
    <col min="14" max="15" width="12.296875" style="1794" hidden="1" customWidth="1"/>
    <col min="16" max="16" width="23.3984375" style="1794" hidden="1" customWidth="1"/>
    <col min="17" max="17" width="3.69921875" style="1794" hidden="1" customWidth="1"/>
    <col min="18" max="20" width="3.69921875" style="265" customWidth="1"/>
    <col min="21" max="21" width="12.69921875" style="1795" customWidth="1"/>
    <col min="22" max="22" width="32" style="1560" customWidth="1"/>
    <col min="23" max="23" width="9.765625E-2" style="1560" customWidth="1"/>
    <col min="24" max="28" width="21.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7" width="21.69921875" style="1560" customWidth="1"/>
    <col min="38" max="38" width="11.69921875" style="1560" customWidth="1"/>
    <col min="39" max="39" width="3.69921875" style="1560" customWidth="1"/>
    <col min="40" max="40" width="11.69921875" style="1560" customWidth="1"/>
    <col min="41" max="41" width="8.59765625" style="1560" customWidth="1"/>
    <col min="42" max="42" width="4.69921875" style="1560" customWidth="1"/>
    <col min="43" max="43" width="115.69921875" style="1560" customWidth="1"/>
    <col min="44" max="45" width="10.59765625" style="1567"/>
    <col min="46" max="46" width="11.09765625" style="1567" customWidth="1"/>
    <col min="47" max="48" width="10.59765625" style="1567"/>
  </cols>
  <sheetData>
    <row r="1" spans="1:48" ht="14.25" hidden="1" customHeight="1">
      <c r="AB1" s="249"/>
      <c r="AC1" s="249"/>
      <c r="AK1" s="249"/>
      <c r="AL1" s="249"/>
    </row>
    <row r="2" spans="1:48" ht="21" hidden="1" customHeight="1">
      <c r="A2" s="1196"/>
      <c r="B2" s="1196"/>
      <c r="C2" s="1196"/>
      <c r="D2" s="1196"/>
      <c r="E2" s="2077">
        <v>1</v>
      </c>
      <c r="F2" s="1196"/>
      <c r="G2" s="1196"/>
      <c r="H2" s="1196"/>
      <c r="I2" s="1196"/>
      <c r="J2" s="1196"/>
      <c r="K2" s="1196"/>
      <c r="L2" s="1196"/>
      <c r="M2" s="1238"/>
      <c r="N2" s="608"/>
      <c r="O2" s="608"/>
      <c r="P2" s="608"/>
      <c r="Q2" s="282"/>
      <c r="R2" s="281"/>
      <c r="S2" s="281"/>
      <c r="T2" s="276"/>
      <c r="U2" s="1263" t="e">
        <f>INDEX(PT_DIFFERENTIATION_NUM_NTAR,MATCH(A2,PT_DIFFERENTIATION_NTAR_ID,0))</f>
        <v>#N/A</v>
      </c>
      <c r="V2" s="212" t="s">
        <v>119</v>
      </c>
      <c r="W2" s="214"/>
      <c r="X2" s="2036"/>
      <c r="Y2" s="2037"/>
      <c r="Z2" s="2037"/>
      <c r="AA2" s="2037"/>
      <c r="AB2" s="2037"/>
      <c r="AC2" s="2037"/>
      <c r="AD2" s="2037"/>
      <c r="AE2" s="2037"/>
      <c r="AF2" s="2038"/>
      <c r="AG2" s="2036" t="e">
        <f>INDEX(PT_DIFFERENTIATION_NTAR,MATCH(A2,PT_DIFFERENTIATION_NTAR_ID,0))</f>
        <v>#N/A</v>
      </c>
      <c r="AH2" s="2037"/>
      <c r="AI2" s="2037"/>
      <c r="AJ2" s="2037"/>
      <c r="AK2" s="2037"/>
      <c r="AL2" s="2037"/>
      <c r="AM2" s="2037"/>
      <c r="AN2" s="2037"/>
      <c r="AO2" s="2037"/>
      <c r="AP2" s="2038"/>
      <c r="AQ2" s="1187" t="s">
        <v>471</v>
      </c>
      <c r="AS2" s="426"/>
      <c r="AT2" s="426" t="str">
        <f t="shared" ref="AT2:AT8" si="0">IF(V2="","",V2)</f>
        <v>Наименование тарифа</v>
      </c>
      <c r="AU2" s="426"/>
      <c r="AV2" s="426"/>
    </row>
    <row r="3" spans="1:48" ht="21" hidden="1" customHeight="1">
      <c r="A3" s="1196"/>
      <c r="B3" s="1196"/>
      <c r="C3" s="1196"/>
      <c r="D3" s="1196"/>
      <c r="E3" s="2078"/>
      <c r="F3" s="2077">
        <v>1</v>
      </c>
      <c r="G3" s="1196"/>
      <c r="H3" s="1196"/>
      <c r="I3" s="1196"/>
      <c r="J3" s="1196"/>
      <c r="K3" s="1196"/>
      <c r="L3" s="1196"/>
      <c r="M3" s="1238"/>
      <c r="N3" s="608"/>
      <c r="O3" s="608"/>
      <c r="P3" s="608"/>
      <c r="Q3" s="1259"/>
      <c r="R3" s="273"/>
      <c r="S3" s="435"/>
      <c r="T3" s="274"/>
      <c r="U3" s="1263" t="e">
        <f>INDEX(PT_DIFFERENTIATION_NUM_TER,MATCH(B3,PT_DIFFERENTIATION_TER_ID,0))</f>
        <v>#N/A</v>
      </c>
      <c r="V3" s="224" t="s">
        <v>472</v>
      </c>
      <c r="W3" s="214"/>
      <c r="X3" s="2036"/>
      <c r="Y3" s="2037"/>
      <c r="Z3" s="2037"/>
      <c r="AA3" s="2037"/>
      <c r="AB3" s="2037"/>
      <c r="AC3" s="2037"/>
      <c r="AD3" s="2037"/>
      <c r="AE3" s="2037"/>
      <c r="AF3" s="2038"/>
      <c r="AG3" s="2036" t="e">
        <f>INDEX(PT_DIFFERENTIATION_TER,MATCH(B3,PT_DIFFERENTIATION_TER_ID,0))</f>
        <v>#N/A</v>
      </c>
      <c r="AH3" s="2037"/>
      <c r="AI3" s="2037"/>
      <c r="AJ3" s="2037"/>
      <c r="AK3" s="2037"/>
      <c r="AL3" s="2037"/>
      <c r="AM3" s="2037"/>
      <c r="AN3" s="2037"/>
      <c r="AO3" s="2037"/>
      <c r="AP3" s="2038"/>
      <c r="AQ3" s="1187" t="s">
        <v>473</v>
      </c>
      <c r="AS3" s="426"/>
      <c r="AT3" s="426" t="str">
        <f t="shared" si="0"/>
        <v>Территория действия тарифа</v>
      </c>
      <c r="AU3" s="426"/>
      <c r="AV3" s="426"/>
    </row>
    <row r="4" spans="1:48" ht="22.5" hidden="1" customHeight="1">
      <c r="A4" s="1196"/>
      <c r="B4" s="1196"/>
      <c r="C4" s="1196"/>
      <c r="D4" s="1196"/>
      <c r="E4" s="2078"/>
      <c r="F4" s="2078"/>
      <c r="G4" s="2077">
        <v>1</v>
      </c>
      <c r="H4" s="1196"/>
      <c r="I4" s="1196"/>
      <c r="J4" s="1196"/>
      <c r="K4" s="1196"/>
      <c r="L4" s="1196"/>
      <c r="M4" s="1238"/>
      <c r="N4" s="608"/>
      <c r="O4" s="608"/>
      <c r="P4" s="608"/>
      <c r="Q4" s="275"/>
      <c r="R4" s="273"/>
      <c r="S4" s="435"/>
      <c r="T4" s="274"/>
      <c r="U4" s="1263" t="e">
        <f>INDEX(PT_DIFFERENTIATION_NUM_CS,MATCH(C4,PT_DIFFERENTIATION_CS_ID,0))</f>
        <v>#N/A</v>
      </c>
      <c r="V4" s="225" t="s">
        <v>474</v>
      </c>
      <c r="W4" s="214"/>
      <c r="X4" s="2036"/>
      <c r="Y4" s="2037"/>
      <c r="Z4" s="2037"/>
      <c r="AA4" s="2037"/>
      <c r="AB4" s="2037"/>
      <c r="AC4" s="2037"/>
      <c r="AD4" s="2037"/>
      <c r="AE4" s="2037"/>
      <c r="AF4" s="2038"/>
      <c r="AG4" s="2036" t="e">
        <f>INDEX(PT_DIFFERENTIATION_CS,MATCH(C4,PT_DIFFERENTIATION_CS_ID,0))</f>
        <v>#N/A</v>
      </c>
      <c r="AH4" s="2037"/>
      <c r="AI4" s="2037"/>
      <c r="AJ4" s="2037"/>
      <c r="AK4" s="2037"/>
      <c r="AL4" s="2037"/>
      <c r="AM4" s="2037"/>
      <c r="AN4" s="2037"/>
      <c r="AO4" s="2037"/>
      <c r="AP4" s="2038"/>
      <c r="AQ4" s="1187" t="s">
        <v>475</v>
      </c>
      <c r="AS4" s="426"/>
      <c r="AT4" s="426" t="str">
        <f t="shared" si="0"/>
        <v xml:space="preserve">Наименование системы теплоснабжения </v>
      </c>
      <c r="AU4" s="426"/>
      <c r="AV4" s="426"/>
    </row>
    <row r="5" spans="1:48" ht="21" hidden="1" customHeight="1">
      <c r="A5" s="1196"/>
      <c r="B5" s="1196"/>
      <c r="C5" s="1196"/>
      <c r="D5" s="1196"/>
      <c r="E5" s="2078"/>
      <c r="F5" s="2078"/>
      <c r="G5" s="2078"/>
      <c r="H5" s="2077">
        <v>1</v>
      </c>
      <c r="I5" s="1196"/>
      <c r="J5" s="1196"/>
      <c r="K5" s="1196"/>
      <c r="L5" s="1196"/>
      <c r="M5" s="1238"/>
      <c r="N5" s="608"/>
      <c r="O5" s="608"/>
      <c r="P5" s="608"/>
      <c r="Q5" s="275"/>
      <c r="R5" s="273"/>
      <c r="S5" s="435"/>
      <c r="T5" s="274"/>
      <c r="U5" s="1263" t="e">
        <f>INDEX(PT_DIFFERENTIATION_NUM_IST_TE,MATCH(D5,PT_DIFFERENTIATION_IST_TE_ID,0))</f>
        <v>#N/A</v>
      </c>
      <c r="V5" s="226" t="s">
        <v>476</v>
      </c>
      <c r="W5" s="214"/>
      <c r="X5" s="2036"/>
      <c r="Y5" s="2037"/>
      <c r="Z5" s="2037"/>
      <c r="AA5" s="2037"/>
      <c r="AB5" s="2037"/>
      <c r="AC5" s="2037"/>
      <c r="AD5" s="2037"/>
      <c r="AE5" s="2037"/>
      <c r="AF5" s="2038"/>
      <c r="AG5" s="2036" t="e">
        <f>INDEX(PT_DIFFERENTIATION_IST_TE,MATCH(D5,PT_DIFFERENTIATION_IST_TE_ID,0))</f>
        <v>#N/A</v>
      </c>
      <c r="AH5" s="2037"/>
      <c r="AI5" s="2037"/>
      <c r="AJ5" s="2037"/>
      <c r="AK5" s="2037"/>
      <c r="AL5" s="2037"/>
      <c r="AM5" s="2037"/>
      <c r="AN5" s="2037"/>
      <c r="AO5" s="2037"/>
      <c r="AP5" s="2038"/>
      <c r="AQ5" s="1187" t="s">
        <v>477</v>
      </c>
      <c r="AS5" s="426"/>
      <c r="AT5" s="426" t="str">
        <f t="shared" si="0"/>
        <v xml:space="preserve">Источник тепловой энергии  </v>
      </c>
      <c r="AU5" s="426"/>
      <c r="AV5" s="426"/>
    </row>
    <row r="6" spans="1:48" ht="14.25" hidden="1" customHeight="1">
      <c r="A6" s="1196"/>
      <c r="B6" s="1196"/>
      <c r="C6" s="1196"/>
      <c r="D6" s="1196"/>
      <c r="E6" s="2078"/>
      <c r="F6" s="2078"/>
      <c r="G6" s="2078"/>
      <c r="H6" s="2078"/>
      <c r="I6" s="1840" t="e">
        <f>U5&amp;".1"</f>
        <v>#N/A</v>
      </c>
      <c r="J6" s="1196"/>
      <c r="K6" s="1196"/>
      <c r="L6" s="1196"/>
      <c r="M6" s="1238" t="s">
        <v>478</v>
      </c>
      <c r="N6" s="435"/>
      <c r="Q6" s="1961">
        <v>1</v>
      </c>
      <c r="R6" s="1258"/>
      <c r="S6" s="1258"/>
      <c r="T6" s="277"/>
      <c r="U6" s="958"/>
      <c r="V6" s="1309"/>
      <c r="W6" s="1310"/>
      <c r="X6" s="2071"/>
      <c r="Y6" s="2072"/>
      <c r="Z6" s="2072"/>
      <c r="AA6" s="2072"/>
      <c r="AB6" s="2072"/>
      <c r="AC6" s="2072"/>
      <c r="AD6" s="2072"/>
      <c r="AE6" s="2072"/>
      <c r="AF6" s="2073"/>
      <c r="AG6" s="2071"/>
      <c r="AH6" s="2072"/>
      <c r="AI6" s="2072"/>
      <c r="AJ6" s="2072"/>
      <c r="AK6" s="2072"/>
      <c r="AL6" s="2072"/>
      <c r="AM6" s="2072"/>
      <c r="AN6" s="2072"/>
      <c r="AO6" s="2072"/>
      <c r="AP6" s="2073"/>
      <c r="AQ6" s="1311"/>
      <c r="AS6" s="426"/>
      <c r="AT6" s="426" t="str">
        <f t="shared" si="0"/>
        <v/>
      </c>
      <c r="AU6" s="426"/>
      <c r="AV6" s="426"/>
    </row>
    <row r="7" spans="1:48" ht="21" hidden="1" customHeight="1">
      <c r="A7" s="1196"/>
      <c r="B7" s="1196"/>
      <c r="C7" s="1196"/>
      <c r="D7" s="1196"/>
      <c r="E7" s="2078"/>
      <c r="F7" s="2078"/>
      <c r="G7" s="2078"/>
      <c r="H7" s="2078"/>
      <c r="I7" s="1822"/>
      <c r="J7" s="1840" t="e">
        <f>I6&amp;".1"</f>
        <v>#N/A</v>
      </c>
      <c r="K7" s="1196"/>
      <c r="L7" s="1196"/>
      <c r="M7" s="1238" t="s">
        <v>481</v>
      </c>
      <c r="N7" s="435"/>
      <c r="O7" s="249"/>
      <c r="Q7" s="1961"/>
      <c r="R7" s="1961">
        <v>1</v>
      </c>
      <c r="S7" s="444"/>
      <c r="T7" s="278"/>
      <c r="U7" s="1263" t="e">
        <f>$J7</f>
        <v>#N/A</v>
      </c>
      <c r="V7" s="201" t="s">
        <v>482</v>
      </c>
      <c r="W7" s="214"/>
      <c r="X7" s="2030"/>
      <c r="Y7" s="2031"/>
      <c r="Z7" s="2031"/>
      <c r="AA7" s="2031"/>
      <c r="AB7" s="2031"/>
      <c r="AC7" s="1948"/>
      <c r="AD7" s="1948"/>
      <c r="AE7" s="1948"/>
      <c r="AF7" s="2079"/>
      <c r="AG7" s="2030"/>
      <c r="AH7" s="2031"/>
      <c r="AI7" s="2031"/>
      <c r="AJ7" s="2031"/>
      <c r="AK7" s="2031"/>
      <c r="AL7" s="2031"/>
      <c r="AM7" s="2031"/>
      <c r="AN7" s="2031"/>
      <c r="AO7" s="2031"/>
      <c r="AP7" s="2032"/>
      <c r="AQ7" s="1187" t="s">
        <v>483</v>
      </c>
      <c r="AS7" s="426"/>
      <c r="AT7" s="426" t="str">
        <f t="shared" si="0"/>
        <v>Группа потребителей</v>
      </c>
      <c r="AU7" s="426"/>
      <c r="AV7" s="426"/>
    </row>
    <row r="8" spans="1:48" ht="21" hidden="1" customHeight="1">
      <c r="A8" s="1196"/>
      <c r="B8" s="1196"/>
      <c r="C8" s="1196"/>
      <c r="D8" s="1196"/>
      <c r="E8" s="2078"/>
      <c r="F8" s="2078"/>
      <c r="G8" s="2078"/>
      <c r="H8" s="2078"/>
      <c r="I8" s="1822"/>
      <c r="J8" s="1822"/>
      <c r="K8" s="1840" t="e">
        <f>J7&amp;".1"</f>
        <v>#N/A</v>
      </c>
      <c r="L8" s="61"/>
      <c r="M8" s="1238" t="s">
        <v>484</v>
      </c>
      <c r="N8" s="435"/>
      <c r="O8" s="249"/>
      <c r="P8" s="249"/>
      <c r="Q8" s="1961"/>
      <c r="R8" s="1961"/>
      <c r="S8" s="1961">
        <v>1</v>
      </c>
      <c r="T8" s="278"/>
      <c r="U8" s="1263" t="e">
        <f>$K8</f>
        <v>#N/A</v>
      </c>
      <c r="V8" s="1274"/>
      <c r="W8" s="214"/>
      <c r="X8" s="669"/>
      <c r="Y8" s="669"/>
      <c r="Z8" s="669"/>
      <c r="AA8" s="669"/>
      <c r="AB8" s="1331"/>
      <c r="AC8" s="2046"/>
      <c r="AD8" s="1850" t="s">
        <v>58</v>
      </c>
      <c r="AE8" s="2046"/>
      <c r="AF8" s="1850" t="s">
        <v>58</v>
      </c>
      <c r="AG8" s="1333"/>
      <c r="AH8" s="669"/>
      <c r="AI8" s="669"/>
      <c r="AJ8" s="669"/>
      <c r="AK8" s="1186"/>
      <c r="AL8" s="2046"/>
      <c r="AM8" s="1850" t="s">
        <v>58</v>
      </c>
      <c r="AN8" s="2046"/>
      <c r="AO8" s="1850" t="s">
        <v>58</v>
      </c>
      <c r="AP8" s="246"/>
      <c r="AQ8" s="1236" t="s">
        <v>534</v>
      </c>
      <c r="AR8" s="437" t="e">
        <f ca="1">STRCHECKDATE(X10:AP10)</f>
        <v>#NAME?</v>
      </c>
      <c r="AS8" s="426"/>
      <c r="AT8" s="426" t="str">
        <f t="shared" si="0"/>
        <v/>
      </c>
      <c r="AU8" s="426"/>
      <c r="AV8" s="426"/>
    </row>
    <row r="9" spans="1:48" ht="21" hidden="1" customHeight="1">
      <c r="A9" s="1196"/>
      <c r="B9" s="1196"/>
      <c r="C9" s="1196"/>
      <c r="D9" s="1196"/>
      <c r="E9" s="2078"/>
      <c r="F9" s="2078"/>
      <c r="G9" s="2078"/>
      <c r="H9" s="2078"/>
      <c r="I9" s="1822"/>
      <c r="J9" s="1822"/>
      <c r="K9" s="1822"/>
      <c r="L9" s="1840" t="e">
        <f>K8&amp;".1"</f>
        <v>#N/A</v>
      </c>
      <c r="M9" s="1238"/>
      <c r="N9" s="435"/>
      <c r="O9" s="249"/>
      <c r="P9" s="249"/>
      <c r="Q9" s="1961"/>
      <c r="R9" s="1961"/>
      <c r="S9" s="1961"/>
      <c r="T9" s="278"/>
      <c r="U9" s="1263" t="e">
        <f>$L9</f>
        <v>#N/A</v>
      </c>
      <c r="V9" s="1317"/>
      <c r="W9" s="214"/>
      <c r="X9" s="246"/>
      <c r="Y9" s="669"/>
      <c r="Z9" s="669"/>
      <c r="AA9" s="669"/>
      <c r="AB9" s="1331"/>
      <c r="AC9" s="2047"/>
      <c r="AD9" s="1850"/>
      <c r="AE9" s="2047"/>
      <c r="AF9" s="1850"/>
      <c r="AG9" s="1333"/>
      <c r="AH9" s="669"/>
      <c r="AI9" s="669"/>
      <c r="AJ9" s="669"/>
      <c r="AK9" s="1186"/>
      <c r="AL9" s="2047"/>
      <c r="AM9" s="1850"/>
      <c r="AN9" s="2047"/>
      <c r="AO9" s="1850"/>
      <c r="AP9" s="246"/>
      <c r="AQ9" s="2064" t="s">
        <v>535</v>
      </c>
      <c r="AS9" s="426"/>
      <c r="AT9" s="426"/>
      <c r="AU9" s="426"/>
      <c r="AV9" s="426"/>
    </row>
    <row r="10" spans="1:48" ht="14.25" hidden="1" customHeight="1">
      <c r="A10" s="1196"/>
      <c r="B10" s="1196"/>
      <c r="C10" s="1196"/>
      <c r="D10" s="1196"/>
      <c r="E10" s="2078"/>
      <c r="F10" s="2078"/>
      <c r="G10" s="2078"/>
      <c r="H10" s="2078"/>
      <c r="I10" s="1822"/>
      <c r="J10" s="1822"/>
      <c r="K10" s="1822"/>
      <c r="L10" s="1840"/>
      <c r="M10" s="1238"/>
      <c r="N10" s="435"/>
      <c r="O10" s="249"/>
      <c r="P10" s="249"/>
      <c r="Q10" s="1961"/>
      <c r="R10" s="1961"/>
      <c r="S10" s="1961"/>
      <c r="T10" s="278"/>
      <c r="U10" s="1269"/>
      <c r="V10" s="214"/>
      <c r="W10" s="214"/>
      <c r="X10" s="246"/>
      <c r="Y10" s="246"/>
      <c r="Z10" s="246"/>
      <c r="AA10" s="246"/>
      <c r="AB10" s="1332" t="str">
        <f>AC8&amp;"-"&amp;AE8</f>
        <v>-</v>
      </c>
      <c r="AC10" s="2047"/>
      <c r="AD10" s="1850"/>
      <c r="AE10" s="2047"/>
      <c r="AF10" s="1850"/>
      <c r="AG10" s="1308"/>
      <c r="AH10" s="246"/>
      <c r="AI10" s="246"/>
      <c r="AJ10" s="246"/>
      <c r="AK10" s="250" t="str">
        <f>AL8&amp;"-"&amp;AN8</f>
        <v>-</v>
      </c>
      <c r="AL10" s="2047"/>
      <c r="AM10" s="1850"/>
      <c r="AN10" s="2047"/>
      <c r="AO10" s="1850"/>
      <c r="AP10" s="246"/>
      <c r="AQ10" s="2065"/>
      <c r="AS10" s="426"/>
      <c r="AT10" s="426" t="str">
        <f>IF(V10="","",V10)</f>
        <v/>
      </c>
      <c r="AU10" s="426"/>
      <c r="AV10" s="426"/>
    </row>
    <row r="11" spans="1:48" ht="11.25" hidden="1" customHeight="1">
      <c r="A11" s="1196"/>
      <c r="B11" s="1196"/>
      <c r="C11" s="1196"/>
      <c r="D11" s="1196"/>
      <c r="E11" s="2078"/>
      <c r="F11" s="2078"/>
      <c r="G11" s="2078"/>
      <c r="H11" s="2078"/>
      <c r="I11" s="1822"/>
      <c r="J11" s="1822"/>
      <c r="K11" s="1840"/>
      <c r="L11" s="1196"/>
      <c r="M11" s="1238"/>
      <c r="N11" s="435"/>
      <c r="O11" s="249"/>
      <c r="P11" s="249"/>
      <c r="Q11" s="1961"/>
      <c r="R11" s="1961"/>
      <c r="S11" s="1961"/>
      <c r="T11" s="278"/>
      <c r="U11" s="1208"/>
      <c r="V11" s="203" t="s">
        <v>536</v>
      </c>
      <c r="W11" s="1318"/>
      <c r="X11" s="1319"/>
      <c r="Y11" s="1319"/>
      <c r="Z11" s="1319"/>
      <c r="AA11" s="1319"/>
      <c r="AB11" s="1320"/>
      <c r="AC11" s="2047"/>
      <c r="AD11" s="1850"/>
      <c r="AE11" s="2047"/>
      <c r="AF11" s="1850"/>
      <c r="AG11" s="1319"/>
      <c r="AH11" s="1319"/>
      <c r="AI11" s="1319"/>
      <c r="AJ11" s="1319"/>
      <c r="AK11" s="1320"/>
      <c r="AL11" s="2047"/>
      <c r="AM11" s="1850"/>
      <c r="AN11" s="2047"/>
      <c r="AO11" s="1850"/>
      <c r="AP11" s="1321"/>
      <c r="AQ11" s="2065"/>
      <c r="AS11" s="426"/>
      <c r="AT11" s="426"/>
      <c r="AU11" s="426"/>
      <c r="AV11" s="426"/>
    </row>
    <row r="12" spans="1:48" ht="15" hidden="1" customHeight="1">
      <c r="A12" s="1196"/>
      <c r="B12" s="1196"/>
      <c r="C12" s="1196"/>
      <c r="D12" s="1196"/>
      <c r="E12" s="2078"/>
      <c r="F12" s="2078"/>
      <c r="G12" s="2078"/>
      <c r="H12" s="2078"/>
      <c r="I12" s="1822"/>
      <c r="J12" s="1840"/>
      <c r="K12" s="1196"/>
      <c r="L12" s="1196"/>
      <c r="M12" s="1238"/>
      <c r="N12" s="435"/>
      <c r="O12" s="249"/>
      <c r="Q12" s="1961"/>
      <c r="R12" s="1961"/>
      <c r="S12" s="1258"/>
      <c r="T12" s="277"/>
      <c r="U12" s="1208"/>
      <c r="V12" s="202" t="s">
        <v>486</v>
      </c>
      <c r="W12" s="291"/>
      <c r="X12" s="291"/>
      <c r="Y12" s="291"/>
      <c r="Z12" s="291"/>
      <c r="AA12" s="291"/>
      <c r="AB12" s="291"/>
      <c r="AC12" s="1334"/>
      <c r="AD12" s="1334"/>
      <c r="AE12" s="1334"/>
      <c r="AF12" s="1334"/>
      <c r="AG12" s="291"/>
      <c r="AH12" s="291"/>
      <c r="AI12" s="291"/>
      <c r="AJ12" s="291"/>
      <c r="AK12" s="291"/>
      <c r="AL12" s="291"/>
      <c r="AM12" s="291"/>
      <c r="AN12" s="291"/>
      <c r="AO12" s="291"/>
      <c r="AP12" s="245"/>
      <c r="AQ12" s="2066"/>
      <c r="AS12" s="426"/>
      <c r="AT12" s="426" t="str">
        <f t="shared" ref="AT12:AT17" si="1">IF(V12="","",V12)</f>
        <v>Добавить вид теплоносителя (параметры теплоносителя)</v>
      </c>
      <c r="AU12" s="426"/>
      <c r="AV12" s="426"/>
    </row>
    <row r="13" spans="1:48" ht="11.25" hidden="1" customHeight="1">
      <c r="A13" s="1196"/>
      <c r="B13" s="1196"/>
      <c r="C13" s="1196"/>
      <c r="D13" s="1196"/>
      <c r="E13" s="2078"/>
      <c r="F13" s="2078"/>
      <c r="G13" s="2078"/>
      <c r="H13" s="2078"/>
      <c r="I13" s="1840"/>
      <c r="J13" s="1196"/>
      <c r="K13" s="1196"/>
      <c r="L13" s="1196"/>
      <c r="M13" s="1238"/>
      <c r="N13" s="435"/>
      <c r="Q13" s="1961"/>
      <c r="R13" s="1258"/>
      <c r="S13" s="1258"/>
      <c r="T13" s="277"/>
      <c r="U13" s="1208"/>
      <c r="V13" s="288" t="s">
        <v>487</v>
      </c>
      <c r="W13" s="291"/>
      <c r="X13" s="291"/>
      <c r="Y13" s="291"/>
      <c r="Z13" s="291"/>
      <c r="AA13" s="291"/>
      <c r="AB13" s="291"/>
      <c r="AC13" s="291"/>
      <c r="AD13" s="291"/>
      <c r="AE13" s="291"/>
      <c r="AF13" s="290"/>
      <c r="AG13" s="291"/>
      <c r="AH13" s="291"/>
      <c r="AI13" s="291"/>
      <c r="AJ13" s="291"/>
      <c r="AK13" s="291"/>
      <c r="AL13" s="291"/>
      <c r="AM13" s="291"/>
      <c r="AN13" s="291"/>
      <c r="AO13" s="290"/>
      <c r="AP13" s="291"/>
      <c r="AQ13" s="217"/>
      <c r="AS13" s="426"/>
      <c r="AT13" s="426" t="str">
        <f t="shared" si="1"/>
        <v>Добавить группу потребителей</v>
      </c>
      <c r="AU13" s="426"/>
      <c r="AV13" s="426"/>
    </row>
    <row r="14" spans="1:48" ht="14.25" hidden="1" customHeight="1">
      <c r="A14" s="1196"/>
      <c r="B14" s="1196"/>
      <c r="C14" s="1196"/>
      <c r="D14" s="1196"/>
      <c r="E14" s="2078"/>
      <c r="F14" s="2078"/>
      <c r="G14" s="2078"/>
      <c r="H14" s="2077"/>
      <c r="I14" s="1196"/>
      <c r="J14" s="1196"/>
      <c r="K14" s="1196"/>
      <c r="L14" s="1196"/>
      <c r="M14" s="1238"/>
      <c r="N14" s="608"/>
      <c r="O14" s="608"/>
      <c r="P14" s="435"/>
      <c r="Q14" s="281"/>
      <c r="R14" s="299"/>
      <c r="S14" s="276"/>
      <c r="T14" s="281"/>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26"/>
      <c r="AT14" s="426" t="str">
        <f t="shared" si="1"/>
        <v/>
      </c>
      <c r="AU14" s="426"/>
      <c r="AV14" s="426"/>
    </row>
    <row r="15" spans="1:48" s="1567" customFormat="1" ht="14.25" hidden="1" customHeight="1">
      <c r="A15" s="1300"/>
      <c r="B15" s="1300"/>
      <c r="C15" s="1300"/>
      <c r="D15" s="1300"/>
      <c r="E15" s="2078"/>
      <c r="F15" s="2078"/>
      <c r="G15" s="2077"/>
      <c r="H15" s="1300"/>
      <c r="I15" s="1300"/>
      <c r="J15" s="1300"/>
      <c r="K15" s="1300"/>
      <c r="L15" s="1300"/>
      <c r="M15" s="1303"/>
      <c r="N15" s="1304"/>
      <c r="O15" s="1304"/>
      <c r="P15" s="272"/>
      <c r="Q15" s="1244"/>
      <c r="R15" s="1245"/>
      <c r="S15" s="1244"/>
      <c r="T15" s="1244"/>
      <c r="U15" s="1246"/>
      <c r="V15" s="1247" t="s">
        <v>445</v>
      </c>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S15" s="707"/>
      <c r="AT15" s="707" t="str">
        <f t="shared" si="1"/>
        <v>Добавить источник для дифференциации</v>
      </c>
      <c r="AU15" s="707"/>
      <c r="AV15" s="707"/>
    </row>
    <row r="16" spans="1:48" s="1567" customFormat="1" ht="14.25" hidden="1" customHeight="1">
      <c r="A16" s="1300"/>
      <c r="B16" s="1300"/>
      <c r="C16" s="1300"/>
      <c r="D16" s="1300"/>
      <c r="E16" s="2078"/>
      <c r="F16" s="2077"/>
      <c r="G16" s="1300"/>
      <c r="H16" s="1300"/>
      <c r="I16" s="1300"/>
      <c r="J16" s="1300"/>
      <c r="K16" s="1300"/>
      <c r="L16" s="1300"/>
      <c r="M16" s="1303"/>
      <c r="N16" s="1305"/>
      <c r="O16" s="1305"/>
      <c r="P16" s="272"/>
      <c r="Q16" s="1244"/>
      <c r="R16" s="1245"/>
      <c r="S16" s="1244"/>
      <c r="T16" s="1244"/>
      <c r="U16" s="1250"/>
      <c r="V16" s="1251" t="s">
        <v>446</v>
      </c>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S16" s="707"/>
      <c r="AT16" s="707" t="str">
        <f t="shared" si="1"/>
        <v>Добавить централизованную систему для дифференциации</v>
      </c>
      <c r="AU16" s="707"/>
      <c r="AV16" s="707"/>
    </row>
    <row r="17" spans="1:48" s="1567" customFormat="1" ht="14.25" hidden="1" customHeight="1">
      <c r="A17" s="1300"/>
      <c r="B17" s="1300"/>
      <c r="C17" s="1300"/>
      <c r="D17" s="1300"/>
      <c r="E17" s="2077"/>
      <c r="F17" s="1300"/>
      <c r="G17" s="1300"/>
      <c r="H17" s="1300"/>
      <c r="I17" s="1300"/>
      <c r="J17" s="1300"/>
      <c r="K17" s="1300"/>
      <c r="L17" s="1300"/>
      <c r="M17" s="1303"/>
      <c r="N17" s="1305"/>
      <c r="O17" s="1305"/>
      <c r="P17" s="272"/>
      <c r="Q17" s="1244"/>
      <c r="R17" s="1245"/>
      <c r="S17" s="1244"/>
      <c r="T17" s="1244"/>
      <c r="U17" s="1250"/>
      <c r="V17" s="1253" t="s">
        <v>447</v>
      </c>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S17" s="707"/>
      <c r="AT17" s="707" t="str">
        <f t="shared" si="1"/>
        <v>Добавить территорию для дифференциации</v>
      </c>
      <c r="AU17" s="707"/>
      <c r="AV17" s="707"/>
    </row>
    <row r="18" spans="1:48" ht="14.25" hidden="1" customHeight="1">
      <c r="AF18" s="249"/>
      <c r="AO18" s="249"/>
    </row>
    <row r="19" spans="1:48" ht="14.25" hidden="1" customHeight="1">
      <c r="AG19" s="1286"/>
      <c r="AH19" s="1286"/>
      <c r="AI19" s="1286"/>
      <c r="AJ19" s="1286"/>
      <c r="AK19" s="1287"/>
      <c r="AL19" s="2040"/>
      <c r="AM19" s="2039" t="s">
        <v>58</v>
      </c>
      <c r="AN19" s="2040"/>
      <c r="AO19" s="2039" t="s">
        <v>58</v>
      </c>
    </row>
    <row r="20" spans="1:48" ht="14.25" hidden="1" customHeight="1">
      <c r="AG20" s="1286"/>
      <c r="AH20" s="1286"/>
      <c r="AI20" s="1286"/>
      <c r="AJ20" s="1286"/>
      <c r="AK20" s="1287"/>
      <c r="AL20" s="2040"/>
      <c r="AM20" s="2039"/>
      <c r="AN20" s="2040"/>
      <c r="AO20" s="2039"/>
    </row>
    <row r="21" spans="1:48" ht="14.25" hidden="1" customHeight="1">
      <c r="AG21" s="1286"/>
      <c r="AH21" s="1286"/>
      <c r="AI21" s="1286"/>
      <c r="AJ21" s="1286"/>
      <c r="AK21" s="1287"/>
      <c r="AL21" s="2040"/>
      <c r="AM21" s="2039"/>
      <c r="AN21" s="2040"/>
      <c r="AO21" s="2039"/>
    </row>
    <row r="22" spans="1:48" ht="14.25" hidden="1" customHeight="1">
      <c r="AG22" s="1286"/>
      <c r="AH22" s="1286"/>
      <c r="AI22" s="1286"/>
      <c r="AJ22" s="1286"/>
      <c r="AK22" s="250" t="str">
        <f>AL19&amp;"-"&amp;AN19</f>
        <v>-</v>
      </c>
      <c r="AL22" s="2039"/>
      <c r="AM22" s="2039"/>
      <c r="AN22" s="2039"/>
      <c r="AO22" s="2039"/>
    </row>
    <row r="23" spans="1:48" ht="14.25" hidden="1" customHeight="1">
      <c r="AO23" s="249"/>
    </row>
    <row r="24" spans="1:48" s="1292" customFormat="1" ht="22.5" hidden="1" customHeight="1">
      <c r="A24" s="1065"/>
      <c r="B24" s="1065"/>
      <c r="C24" s="1065"/>
      <c r="D24" s="1065"/>
      <c r="E24" s="1065"/>
      <c r="F24" s="1065"/>
      <c r="G24" s="1065"/>
      <c r="H24" s="1065"/>
      <c r="I24" s="1065"/>
      <c r="J24" s="1065"/>
      <c r="K24" s="1065"/>
      <c r="L24" s="1065"/>
      <c r="M24" s="1254"/>
      <c r="N24" s="1255"/>
      <c r="O24" s="1255"/>
      <c r="P24" s="1272" t="s">
        <v>489</v>
      </c>
      <c r="Q24" s="1288"/>
      <c r="R24" s="1297"/>
      <c r="S24" s="1297"/>
      <c r="T24" s="1297"/>
      <c r="U24" s="649"/>
      <c r="AC24" s="1293"/>
      <c r="AE24" s="1293"/>
      <c r="AL24" s="1293"/>
      <c r="AN24" s="1293"/>
      <c r="AR24" s="437"/>
      <c r="AS24" s="437"/>
      <c r="AT24" s="437"/>
      <c r="AU24" s="437"/>
      <c r="AV24" s="437"/>
    </row>
    <row r="25" spans="1:48" s="1292" customFormat="1" ht="14.25" hidden="1" customHeight="1">
      <c r="A25" s="1065"/>
      <c r="B25" s="1065"/>
      <c r="C25" s="1065"/>
      <c r="D25" s="1065"/>
      <c r="E25" s="1065"/>
      <c r="F25" s="1065"/>
      <c r="G25" s="1065"/>
      <c r="H25" s="1065"/>
      <c r="I25" s="1065"/>
      <c r="J25" s="1065"/>
      <c r="K25" s="1065"/>
      <c r="L25" s="1065"/>
      <c r="M25" s="1254"/>
      <c r="N25" s="1255"/>
      <c r="O25" s="1255"/>
      <c r="P25" s="1255"/>
      <c r="Q25" s="1288"/>
      <c r="R25" s="1297"/>
      <c r="S25" s="1297"/>
      <c r="T25" s="1297"/>
      <c r="U25" s="649"/>
      <c r="AR25" s="437"/>
      <c r="AS25" s="437"/>
      <c r="AT25" s="437"/>
      <c r="AU25" s="437"/>
      <c r="AV25" s="437"/>
    </row>
    <row r="26" spans="1:48" s="1292" customFormat="1" ht="14.25" hidden="1" customHeight="1">
      <c r="A26" s="1065"/>
      <c r="B26" s="1065"/>
      <c r="C26" s="1065"/>
      <c r="D26" s="1065"/>
      <c r="E26" s="1065"/>
      <c r="F26" s="1065"/>
      <c r="G26" s="1065"/>
      <c r="H26" s="1065"/>
      <c r="I26" s="1065"/>
      <c r="J26" s="1065"/>
      <c r="K26" s="1065"/>
      <c r="L26" s="1065"/>
      <c r="M26" s="1254"/>
      <c r="N26" s="1255"/>
      <c r="O26" s="1255"/>
      <c r="P26" s="1238" t="s">
        <v>490</v>
      </c>
      <c r="Q26" s="1288"/>
      <c r="R26" s="1297"/>
      <c r="S26" s="1297"/>
      <c r="T26" s="1297"/>
      <c r="U26" s="649"/>
      <c r="V26" s="1070" t="s">
        <v>491</v>
      </c>
      <c r="AD26" s="104" t="s">
        <v>492</v>
      </c>
      <c r="AF26" s="104" t="s">
        <v>493</v>
      </c>
      <c r="AG26" s="1070" t="s">
        <v>491</v>
      </c>
      <c r="AM26" s="104" t="s">
        <v>494</v>
      </c>
      <c r="AO26" s="104" t="s">
        <v>493</v>
      </c>
      <c r="AR26" s="437"/>
      <c r="AS26" s="437"/>
      <c r="AT26" s="437"/>
      <c r="AU26" s="437"/>
      <c r="AV26" s="437"/>
    </row>
    <row r="27" spans="1:48" ht="14.25" hidden="1" customHeight="1">
      <c r="P27" s="1238"/>
    </row>
    <row r="28" spans="1:48" ht="14.25" hidden="1" customHeight="1">
      <c r="P28" s="1238"/>
    </row>
    <row r="29" spans="1:48" ht="14.25" customHeight="1">
      <c r="R29" s="300"/>
      <c r="S29" s="300"/>
      <c r="T29" s="300"/>
      <c r="U29" s="1205"/>
      <c r="V29" s="286"/>
      <c r="W29" s="286"/>
      <c r="X29" s="435"/>
      <c r="Y29" s="435"/>
      <c r="Z29" s="435"/>
      <c r="AA29" s="435"/>
      <c r="AB29" s="435"/>
      <c r="AC29" s="435"/>
      <c r="AD29" s="435"/>
      <c r="AE29" s="435"/>
      <c r="AF29" s="435"/>
      <c r="AG29" s="435"/>
      <c r="AH29" s="435"/>
      <c r="AI29" s="435"/>
      <c r="AJ29" s="435"/>
      <c r="AK29" s="435"/>
      <c r="AL29" s="435"/>
      <c r="AM29" s="435"/>
      <c r="AN29" s="435"/>
      <c r="AO29" s="435"/>
    </row>
    <row r="30" spans="1:48" ht="64.5" customHeight="1">
      <c r="R30" s="300"/>
      <c r="S30" s="300"/>
      <c r="T30" s="300"/>
      <c r="U30" s="20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67"/>
      <c r="W30" s="2067"/>
      <c r="X30" s="2067"/>
      <c r="Y30" s="2067"/>
      <c r="Z30" s="2067"/>
      <c r="AA30" s="2067"/>
      <c r="AB30" s="2067"/>
      <c r="AC30" s="2067"/>
      <c r="AD30" s="2067"/>
      <c r="AE30" s="2067"/>
      <c r="AF30" s="2067"/>
      <c r="AG30" s="2067"/>
      <c r="AH30" s="2067"/>
      <c r="AI30" s="2067"/>
      <c r="AJ30" s="2067"/>
      <c r="AK30" s="2067"/>
      <c r="AL30" s="2067"/>
      <c r="AM30" s="2067"/>
      <c r="AN30" s="2067"/>
      <c r="AO30" s="1162"/>
    </row>
    <row r="31" spans="1:48" ht="14.25" customHeight="1">
      <c r="R31" s="300"/>
      <c r="S31" s="300"/>
      <c r="T31" s="300"/>
      <c r="U31" s="1927" t="str">
        <f>IF(org=0,"Не определено",org)</f>
        <v>НАО "СВЕЗА Мантурово"</v>
      </c>
      <c r="V31" s="1927"/>
      <c r="W31" s="1927"/>
      <c r="X31" s="1927"/>
      <c r="Y31" s="1927"/>
      <c r="Z31" s="1927"/>
      <c r="AA31" s="1927"/>
      <c r="AB31" s="1927"/>
      <c r="AC31" s="1927"/>
      <c r="AD31" s="1927"/>
      <c r="AE31" s="1927"/>
      <c r="AF31" s="1927"/>
      <c r="AG31" s="1927"/>
      <c r="AH31" s="1927"/>
      <c r="AI31" s="1927"/>
      <c r="AJ31" s="1927"/>
      <c r="AK31" s="1927"/>
      <c r="AL31" s="1927"/>
      <c r="AM31" s="1927"/>
      <c r="AN31" s="1927"/>
      <c r="AO31" s="1162"/>
    </row>
    <row r="32" spans="1:48" ht="14.25" hidden="1" customHeight="1">
      <c r="R32" s="300"/>
      <c r="S32" s="300"/>
      <c r="T32" s="300"/>
      <c r="U32" s="1205"/>
      <c r="V32" s="286"/>
      <c r="W32" s="286"/>
      <c r="X32" s="242"/>
      <c r="Y32" s="242"/>
      <c r="Z32" s="242"/>
      <c r="AA32" s="242"/>
      <c r="AB32" s="242"/>
      <c r="AC32" s="242"/>
      <c r="AD32" s="242"/>
      <c r="AE32" s="242"/>
      <c r="AF32" s="242"/>
      <c r="AG32" s="242"/>
      <c r="AH32" s="242"/>
      <c r="AI32" s="242"/>
      <c r="AJ32" s="242"/>
      <c r="AK32" s="242"/>
      <c r="AL32" s="242"/>
      <c r="AM32" s="242"/>
      <c r="AN32" s="242"/>
      <c r="AO32" s="242"/>
      <c r="AP32" s="435"/>
    </row>
    <row r="33" spans="1:48" s="1781" customFormat="1" ht="25.5" hidden="1" customHeight="1">
      <c r="A33" s="1168"/>
      <c r="B33" s="1168"/>
      <c r="C33" s="1168"/>
      <c r="D33" s="1168"/>
      <c r="E33" s="1168"/>
      <c r="F33" s="1168"/>
      <c r="G33" s="1168"/>
      <c r="H33" s="1168"/>
      <c r="I33" s="1168"/>
      <c r="J33" s="1168"/>
      <c r="K33" s="1168"/>
      <c r="L33" s="1168"/>
      <c r="M33" s="1306"/>
      <c r="N33" s="1168"/>
      <c r="O33" s="1168"/>
      <c r="P33" s="1168"/>
      <c r="U33" s="2033" t="s">
        <v>39</v>
      </c>
      <c r="V33" s="2033"/>
      <c r="W33" s="1298"/>
      <c r="X33" s="2035" t="str">
        <f>IF(TITLE_NAME_OR_PR_CHANGE="",IF(TITLE_NAME_OR_PR="","",TITLE_NAME_OR_PR),TITLE_NAME_OR_PR_CHANGE)</f>
        <v/>
      </c>
      <c r="Y33" s="2035"/>
      <c r="Z33" s="2035"/>
      <c r="AA33" s="2035"/>
      <c r="AB33" s="2035"/>
      <c r="AC33" s="2035"/>
      <c r="AD33" s="2035"/>
      <c r="AE33" s="2035"/>
      <c r="AF33" s="248"/>
      <c r="AG33" s="2035" t="str">
        <f>IF(TITLE_NAME_OR_PR_CHANGE="",IF(TITLE_NAME_OR_PR="","",TITLE_NAME_OR_PR),TITLE_NAME_OR_PR_CHANGE)</f>
        <v/>
      </c>
      <c r="AH33" s="2035"/>
      <c r="AI33" s="2035"/>
      <c r="AJ33" s="2035"/>
      <c r="AK33" s="2035"/>
      <c r="AL33" s="2035"/>
      <c r="AM33" s="2035"/>
      <c r="AN33" s="2035"/>
      <c r="AO33" s="248"/>
      <c r="AP33" s="248"/>
      <c r="AQ33" s="196"/>
      <c r="AR33" s="292"/>
      <c r="AS33" s="292"/>
      <c r="AT33" s="292"/>
      <c r="AU33" s="292"/>
      <c r="AV33" s="292"/>
    </row>
    <row r="34" spans="1:48" s="1781" customFormat="1" ht="18.75" hidden="1" customHeight="1">
      <c r="A34" s="1168"/>
      <c r="B34" s="1168"/>
      <c r="C34" s="1168"/>
      <c r="D34" s="1168"/>
      <c r="E34" s="1168"/>
      <c r="F34" s="1168"/>
      <c r="G34" s="1168"/>
      <c r="H34" s="1168"/>
      <c r="I34" s="1168"/>
      <c r="J34" s="1168"/>
      <c r="K34" s="1168"/>
      <c r="L34" s="1168"/>
      <c r="M34" s="1306"/>
      <c r="N34" s="1168"/>
      <c r="O34" s="1168"/>
      <c r="P34" s="1168"/>
      <c r="U34" s="2033" t="s">
        <v>495</v>
      </c>
      <c r="V34" s="2033"/>
      <c r="W34" s="1298"/>
      <c r="X34" s="2034" t="str">
        <f>IF(TITLE_DATE_CHANGE_PERIOD="",IF(TITLE_DATE_PR="","",TITLE_DATE_PR),TITLE_DATE_CHANGE_PERIOD)</f>
        <v/>
      </c>
      <c r="Y34" s="2034"/>
      <c r="Z34" s="2034"/>
      <c r="AA34" s="2034"/>
      <c r="AB34" s="2034"/>
      <c r="AC34" s="2034"/>
      <c r="AD34" s="2034"/>
      <c r="AE34" s="2034"/>
      <c r="AF34" s="248"/>
      <c r="AG34" s="2034" t="str">
        <f>IF(TITLE_DATE_CHANGE_PERIOD="",IF(TITLE_DATE_PR="","",TITLE_DATE_PR),TITLE_DATE_CHANGE_PERIOD)</f>
        <v/>
      </c>
      <c r="AH34" s="2034"/>
      <c r="AI34" s="2034"/>
      <c r="AJ34" s="2034"/>
      <c r="AK34" s="2034"/>
      <c r="AL34" s="2034"/>
      <c r="AM34" s="2034"/>
      <c r="AN34" s="2034"/>
      <c r="AO34" s="248"/>
      <c r="AP34" s="248"/>
      <c r="AQ34" s="196"/>
      <c r="AR34" s="292"/>
      <c r="AS34" s="292"/>
      <c r="AT34" s="292"/>
      <c r="AU34" s="292"/>
      <c r="AV34" s="292"/>
    </row>
    <row r="35" spans="1:48" s="1781" customFormat="1" ht="18.75" hidden="1" customHeight="1">
      <c r="A35" s="1168"/>
      <c r="B35" s="1168"/>
      <c r="C35" s="1168"/>
      <c r="D35" s="1168"/>
      <c r="E35" s="1168"/>
      <c r="F35" s="1168"/>
      <c r="G35" s="1168"/>
      <c r="H35" s="1168"/>
      <c r="I35" s="1168"/>
      <c r="J35" s="1168"/>
      <c r="K35" s="1168"/>
      <c r="L35" s="1168"/>
      <c r="M35" s="1306"/>
      <c r="N35" s="1168"/>
      <c r="O35" s="1168"/>
      <c r="P35" s="1168"/>
      <c r="U35" s="2033" t="s">
        <v>496</v>
      </c>
      <c r="V35" s="2033"/>
      <c r="W35" s="1298"/>
      <c r="X35" s="2035" t="str">
        <f>IF(TITLE_NUMBER_PR_CHANGE="",IF(TITLE_NUMBER_PR="","",TITLE_NUMBER_PR),TITLE_NUMBER_PR_CHANGE)</f>
        <v/>
      </c>
      <c r="Y35" s="2035"/>
      <c r="Z35" s="2035"/>
      <c r="AA35" s="2035"/>
      <c r="AB35" s="2035"/>
      <c r="AC35" s="2035"/>
      <c r="AD35" s="2035"/>
      <c r="AE35" s="2035"/>
      <c r="AF35" s="248"/>
      <c r="AG35" s="2035" t="str">
        <f>IF(TITLE_NUMBER_PR_CHANGE="",IF(TITLE_NUMBER_PR="","",TITLE_NUMBER_PR),TITLE_NUMBER_PR_CHANGE)</f>
        <v/>
      </c>
      <c r="AH35" s="2035"/>
      <c r="AI35" s="2035"/>
      <c r="AJ35" s="2035"/>
      <c r="AK35" s="2035"/>
      <c r="AL35" s="2035"/>
      <c r="AM35" s="2035"/>
      <c r="AN35" s="2035"/>
      <c r="AO35" s="248"/>
      <c r="AP35" s="248"/>
      <c r="AQ35" s="196"/>
      <c r="AR35" s="292"/>
      <c r="AS35" s="292"/>
      <c r="AT35" s="292"/>
      <c r="AU35" s="292"/>
      <c r="AV35" s="292"/>
    </row>
    <row r="36" spans="1:48" s="1781" customFormat="1" ht="18.75" hidden="1" customHeight="1">
      <c r="A36" s="1168"/>
      <c r="B36" s="1168"/>
      <c r="C36" s="1168"/>
      <c r="D36" s="1168"/>
      <c r="E36" s="1168"/>
      <c r="F36" s="1168"/>
      <c r="G36" s="1168"/>
      <c r="H36" s="1168"/>
      <c r="I36" s="1168"/>
      <c r="J36" s="1168"/>
      <c r="K36" s="1168"/>
      <c r="L36" s="1168"/>
      <c r="M36" s="1306"/>
      <c r="N36" s="1168"/>
      <c r="O36" s="1168"/>
      <c r="P36" s="1168"/>
      <c r="U36" s="2033" t="s">
        <v>40</v>
      </c>
      <c r="V36" s="2033"/>
      <c r="W36" s="1298"/>
      <c r="X36" s="2035" t="str">
        <f>IF(TITLE_IST_PUB_CHANGE="",IF(TITLE_IST_PUB="","",TITLE_IST_PUB),TITLE_IST_PUB_CHANGE)</f>
        <v/>
      </c>
      <c r="Y36" s="2035"/>
      <c r="Z36" s="2035"/>
      <c r="AA36" s="2035"/>
      <c r="AB36" s="2035"/>
      <c r="AC36" s="2035"/>
      <c r="AD36" s="2035"/>
      <c r="AE36" s="2035"/>
      <c r="AF36" s="248"/>
      <c r="AG36" s="2035" t="str">
        <f>IF(TITLE_IST_PUB_CHANGE="",IF(TITLE_IST_PUB="","",TITLE_IST_PUB),TITLE_IST_PUB_CHANGE)</f>
        <v/>
      </c>
      <c r="AH36" s="2035"/>
      <c r="AI36" s="2035"/>
      <c r="AJ36" s="2035"/>
      <c r="AK36" s="2035"/>
      <c r="AL36" s="2035"/>
      <c r="AM36" s="2035"/>
      <c r="AN36" s="2035"/>
      <c r="AO36" s="248"/>
      <c r="AP36" s="248"/>
      <c r="AQ36" s="196"/>
      <c r="AR36" s="292"/>
      <c r="AS36" s="292"/>
      <c r="AT36" s="292"/>
      <c r="AU36" s="292"/>
      <c r="AV36" s="292"/>
    </row>
    <row r="37" spans="1:48" ht="14.25" hidden="1" customHeight="1">
      <c r="R37" s="300"/>
      <c r="S37" s="300"/>
      <c r="T37" s="300"/>
      <c r="U37" s="1205"/>
      <c r="V37" s="286"/>
      <c r="W37" s="286"/>
      <c r="X37" s="242"/>
      <c r="Y37" s="242"/>
      <c r="Z37" s="242"/>
      <c r="AA37" s="242"/>
      <c r="AB37" s="242"/>
      <c r="AC37" s="242"/>
      <c r="AD37" s="242"/>
      <c r="AE37" s="242"/>
      <c r="AF37" s="242"/>
      <c r="AG37" s="242"/>
      <c r="AH37" s="242"/>
      <c r="AI37" s="242"/>
      <c r="AJ37" s="242"/>
      <c r="AK37" s="242"/>
      <c r="AL37" s="242"/>
      <c r="AM37" s="242"/>
      <c r="AN37" s="242"/>
      <c r="AO37" s="242"/>
      <c r="AP37" s="435"/>
    </row>
    <row r="38" spans="1:48" s="1781" customFormat="1" ht="18.75" hidden="1" customHeight="1">
      <c r="A38" s="1168"/>
      <c r="B38" s="1168"/>
      <c r="C38" s="1168"/>
      <c r="D38" s="1168"/>
      <c r="E38" s="1168"/>
      <c r="F38" s="1168"/>
      <c r="G38" s="1168"/>
      <c r="H38" s="1168"/>
      <c r="I38" s="1168"/>
      <c r="J38" s="1168"/>
      <c r="K38" s="1168"/>
      <c r="L38" s="1168"/>
      <c r="M38" s="1306"/>
      <c r="N38" s="1168"/>
      <c r="O38" s="1168"/>
      <c r="P38" s="1168"/>
      <c r="U38" s="2033" t="s">
        <v>497</v>
      </c>
      <c r="V38" s="2033"/>
      <c r="W38" s="1298"/>
      <c r="X38" s="2034" t="str">
        <f>IF(TITLE_DATE_CHANGE_PERIOD="",IF(TITLE_DATE_PR="","",TITLE_DATE_PR),TITLE_DATE_CHANGE_PERIOD)</f>
        <v/>
      </c>
      <c r="Y38" s="2034"/>
      <c r="Z38" s="2034"/>
      <c r="AA38" s="2034"/>
      <c r="AB38" s="2034"/>
      <c r="AC38" s="2034"/>
      <c r="AD38" s="2034"/>
      <c r="AE38" s="2034"/>
      <c r="AF38" s="248"/>
      <c r="AG38" s="2034" t="str">
        <f>IF(TITLE_DATE_CHANGE_PERIOD="",IF(TITLE_DATE_PR="","",TITLE_DATE_PR),TITLE_DATE_CHANGE_PERIOD)</f>
        <v/>
      </c>
      <c r="AH38" s="2034"/>
      <c r="AI38" s="2034"/>
      <c r="AJ38" s="2034"/>
      <c r="AK38" s="2034"/>
      <c r="AL38" s="2034"/>
      <c r="AM38" s="2034"/>
      <c r="AN38" s="2034"/>
      <c r="AO38" s="248"/>
      <c r="AP38" s="248"/>
      <c r="AQ38" s="196"/>
      <c r="AR38" s="292"/>
      <c r="AS38" s="292"/>
      <c r="AT38" s="292"/>
      <c r="AU38" s="292"/>
      <c r="AV38" s="292"/>
    </row>
    <row r="39" spans="1:48" s="1781" customFormat="1" ht="18.75" hidden="1" customHeight="1">
      <c r="A39" s="1168"/>
      <c r="B39" s="1168"/>
      <c r="C39" s="1168"/>
      <c r="D39" s="1168"/>
      <c r="E39" s="1168"/>
      <c r="F39" s="1168"/>
      <c r="G39" s="1168"/>
      <c r="H39" s="1168"/>
      <c r="I39" s="1168"/>
      <c r="J39" s="1168"/>
      <c r="K39" s="1168"/>
      <c r="L39" s="1168"/>
      <c r="M39" s="1306"/>
      <c r="N39" s="1168"/>
      <c r="O39" s="1168"/>
      <c r="P39" s="1168"/>
      <c r="U39" s="2033" t="s">
        <v>498</v>
      </c>
      <c r="V39" s="2033"/>
      <c r="W39" s="1298"/>
      <c r="X39" s="2035" t="str">
        <f>IF(TITLE_NUMBER_PR_CHANGE="",IF(TITLE_NUMBER_PR="","",TITLE_NUMBER_PR),TITLE_NUMBER_PR_CHANGE)</f>
        <v/>
      </c>
      <c r="Y39" s="2035"/>
      <c r="Z39" s="2035"/>
      <c r="AA39" s="2035"/>
      <c r="AB39" s="2035"/>
      <c r="AC39" s="2035"/>
      <c r="AD39" s="2035"/>
      <c r="AE39" s="2035"/>
      <c r="AF39" s="248"/>
      <c r="AG39" s="2035" t="str">
        <f>IF(TITLE_NUMBER_PR_CHANGE="",IF(TITLE_NUMBER_PR="","",TITLE_NUMBER_PR),TITLE_NUMBER_PR_CHANGE)</f>
        <v/>
      </c>
      <c r="AH39" s="2035"/>
      <c r="AI39" s="2035"/>
      <c r="AJ39" s="2035"/>
      <c r="AK39" s="2035"/>
      <c r="AL39" s="2035"/>
      <c r="AM39" s="2035"/>
      <c r="AN39" s="2035"/>
      <c r="AO39" s="248"/>
      <c r="AP39" s="248"/>
      <c r="AQ39" s="196"/>
      <c r="AR39" s="292"/>
      <c r="AS39" s="292"/>
      <c r="AT39" s="292"/>
      <c r="AU39" s="292"/>
      <c r="AV39" s="292"/>
    </row>
    <row r="40" spans="1:48" s="1781" customFormat="1" ht="0" hidden="1" customHeight="1">
      <c r="A40" s="1168"/>
      <c r="B40" s="1168"/>
      <c r="C40" s="1168"/>
      <c r="D40" s="1168"/>
      <c r="E40" s="1168"/>
      <c r="F40" s="1168"/>
      <c r="G40" s="1168"/>
      <c r="H40" s="1168"/>
      <c r="I40" s="1168"/>
      <c r="J40" s="1168"/>
      <c r="K40" s="1168"/>
      <c r="L40" s="1168"/>
      <c r="M40" s="1306"/>
      <c r="N40" s="1168"/>
      <c r="O40" s="1168"/>
      <c r="P40" s="1168"/>
      <c r="U40" s="244"/>
      <c r="V40" s="244"/>
      <c r="W40" s="1267"/>
      <c r="X40" s="248"/>
      <c r="Y40" s="248"/>
      <c r="Z40" s="248"/>
      <c r="AA40" s="248"/>
      <c r="AB40" s="248"/>
      <c r="AC40" s="248"/>
      <c r="AD40" s="248"/>
      <c r="AE40" s="248"/>
      <c r="AF40" s="194" t="s">
        <v>499</v>
      </c>
      <c r="AG40" s="248"/>
      <c r="AH40" s="248"/>
      <c r="AI40" s="248"/>
      <c r="AJ40" s="248"/>
      <c r="AK40" s="248"/>
      <c r="AL40" s="248"/>
      <c r="AM40" s="248"/>
      <c r="AN40" s="248"/>
      <c r="AO40" s="194" t="s">
        <v>499</v>
      </c>
      <c r="AR40" s="292"/>
      <c r="AS40" s="292"/>
      <c r="AT40" s="292"/>
      <c r="AU40" s="292"/>
      <c r="AV40" s="292"/>
    </row>
    <row r="41" spans="1:48" ht="14.25" customHeight="1">
      <c r="R41" s="300"/>
      <c r="S41" s="300"/>
      <c r="T41" s="300"/>
      <c r="U41" s="1205"/>
      <c r="V41" s="286"/>
      <c r="W41" s="1163"/>
      <c r="X41" s="2053"/>
      <c r="Y41" s="2053"/>
      <c r="Z41" s="2053"/>
      <c r="AA41" s="2053"/>
      <c r="AB41" s="2053"/>
      <c r="AC41" s="2053"/>
      <c r="AD41" s="2053"/>
      <c r="AE41" s="2053"/>
      <c r="AF41" s="2053"/>
      <c r="AG41" s="2053"/>
      <c r="AH41" s="2053"/>
      <c r="AI41" s="2053"/>
      <c r="AJ41" s="2053"/>
      <c r="AK41" s="2053"/>
      <c r="AL41" s="2053"/>
      <c r="AM41" s="2053"/>
      <c r="AN41" s="2053"/>
      <c r="AO41" s="2053"/>
    </row>
    <row r="42" spans="1:48" ht="14.25" customHeight="1">
      <c r="R42" s="300"/>
      <c r="S42" s="300"/>
      <c r="T42" s="300"/>
      <c r="U42" s="1840" t="s">
        <v>282</v>
      </c>
      <c r="V42" s="1840"/>
      <c r="W42" s="1840"/>
      <c r="X42" s="1840"/>
      <c r="Y42" s="1840"/>
      <c r="Z42" s="1840"/>
      <c r="AA42" s="1840"/>
      <c r="AB42" s="1840"/>
      <c r="AC42" s="1840"/>
      <c r="AD42" s="1840"/>
      <c r="AE42" s="1840"/>
      <c r="AF42" s="1840"/>
      <c r="AG42" s="1840"/>
      <c r="AH42" s="1840"/>
      <c r="AI42" s="1840"/>
      <c r="AJ42" s="1840"/>
      <c r="AK42" s="1840"/>
      <c r="AL42" s="1840"/>
      <c r="AM42" s="1840"/>
      <c r="AN42" s="1840"/>
      <c r="AO42" s="1840"/>
      <c r="AP42" s="1840"/>
      <c r="AQ42" s="1840" t="s">
        <v>283</v>
      </c>
    </row>
    <row r="43" spans="1:48" ht="14.25" customHeight="1">
      <c r="R43" s="300"/>
      <c r="S43" s="300"/>
      <c r="T43" s="300"/>
      <c r="U43" s="2054" t="s">
        <v>87</v>
      </c>
      <c r="V43" s="1925" t="s">
        <v>500</v>
      </c>
      <c r="W43" s="215"/>
      <c r="X43" s="2055" t="s">
        <v>501</v>
      </c>
      <c r="Y43" s="2070"/>
      <c r="Z43" s="2070"/>
      <c r="AA43" s="2070"/>
      <c r="AB43" s="2070"/>
      <c r="AC43" s="2056"/>
      <c r="AD43" s="2056"/>
      <c r="AE43" s="2057"/>
      <c r="AF43" s="2058" t="s">
        <v>502</v>
      </c>
      <c r="AG43" s="2055" t="s">
        <v>501</v>
      </c>
      <c r="AH43" s="2070"/>
      <c r="AI43" s="2070"/>
      <c r="AJ43" s="2070"/>
      <c r="AK43" s="2070"/>
      <c r="AL43" s="2056"/>
      <c r="AM43" s="2056"/>
      <c r="AN43" s="2057"/>
      <c r="AO43" s="2058" t="s">
        <v>503</v>
      </c>
      <c r="AP43" s="2061" t="s">
        <v>504</v>
      </c>
      <c r="AQ43" s="1840"/>
    </row>
    <row r="44" spans="1:48" ht="33.75" customHeight="1">
      <c r="R44" s="300"/>
      <c r="S44" s="300"/>
      <c r="T44" s="300"/>
      <c r="U44" s="2054"/>
      <c r="V44" s="1925"/>
      <c r="W44" s="947"/>
      <c r="X44" s="1895" t="s">
        <v>537</v>
      </c>
      <c r="Y44" s="1840" t="s">
        <v>538</v>
      </c>
      <c r="Z44" s="1840"/>
      <c r="AA44" s="1840"/>
      <c r="AB44" s="1840"/>
      <c r="AC44" s="1895" t="s">
        <v>508</v>
      </c>
      <c r="AD44" s="2075"/>
      <c r="AE44" s="1896"/>
      <c r="AF44" s="2059"/>
      <c r="AG44" s="1895" t="s">
        <v>537</v>
      </c>
      <c r="AH44" s="1840" t="s">
        <v>538</v>
      </c>
      <c r="AI44" s="1840"/>
      <c r="AJ44" s="1840"/>
      <c r="AK44" s="1840"/>
      <c r="AL44" s="1895" t="s">
        <v>508</v>
      </c>
      <c r="AM44" s="2075"/>
      <c r="AN44" s="1896"/>
      <c r="AO44" s="2059"/>
      <c r="AP44" s="2062"/>
      <c r="AQ44" s="1840"/>
    </row>
    <row r="45" spans="1:48" ht="14.25" customHeight="1">
      <c r="R45" s="300"/>
      <c r="S45" s="300"/>
      <c r="T45" s="300"/>
      <c r="U45" s="2054"/>
      <c r="V45" s="1925"/>
      <c r="W45" s="947"/>
      <c r="X45" s="1897"/>
      <c r="Y45" s="1932" t="s">
        <v>539</v>
      </c>
      <c r="Z45" s="1931" t="s">
        <v>540</v>
      </c>
      <c r="AA45" s="1944"/>
      <c r="AB45" s="1945"/>
      <c r="AC45" s="1900"/>
      <c r="AD45" s="2076"/>
      <c r="AE45" s="1901"/>
      <c r="AF45" s="2059"/>
      <c r="AG45" s="1897"/>
      <c r="AH45" s="1932" t="s">
        <v>539</v>
      </c>
      <c r="AI45" s="1931" t="s">
        <v>540</v>
      </c>
      <c r="AJ45" s="1944"/>
      <c r="AK45" s="1945"/>
      <c r="AL45" s="1900"/>
      <c r="AM45" s="2076"/>
      <c r="AN45" s="1901"/>
      <c r="AO45" s="2059"/>
      <c r="AP45" s="2062"/>
      <c r="AQ45" s="1840"/>
    </row>
    <row r="46" spans="1:48" ht="25.5" customHeight="1">
      <c r="R46" s="300"/>
      <c r="S46" s="300"/>
      <c r="T46" s="300"/>
      <c r="U46" s="2054"/>
      <c r="V46" s="1925"/>
      <c r="W46" s="947"/>
      <c r="X46" s="1897"/>
      <c r="Y46" s="2074"/>
      <c r="Z46" s="1932" t="s">
        <v>541</v>
      </c>
      <c r="AA46" s="1931" t="s">
        <v>542</v>
      </c>
      <c r="AB46" s="1945"/>
      <c r="AC46" s="1932" t="s">
        <v>518</v>
      </c>
      <c r="AD46" s="1936" t="s">
        <v>519</v>
      </c>
      <c r="AE46" s="1934"/>
      <c r="AF46" s="2059"/>
      <c r="AG46" s="1897"/>
      <c r="AH46" s="2074"/>
      <c r="AI46" s="1932" t="s">
        <v>541</v>
      </c>
      <c r="AJ46" s="1931" t="s">
        <v>542</v>
      </c>
      <c r="AK46" s="1945"/>
      <c r="AL46" s="1932" t="s">
        <v>518</v>
      </c>
      <c r="AM46" s="1936" t="s">
        <v>519</v>
      </c>
      <c r="AN46" s="1934"/>
      <c r="AO46" s="2059"/>
      <c r="AP46" s="2062"/>
      <c r="AQ46" s="1840"/>
    </row>
    <row r="47" spans="1:48" ht="62.25" customHeight="1">
      <c r="A47" s="1189"/>
      <c r="B47" s="1189" t="s">
        <v>131</v>
      </c>
      <c r="C47" s="1189" t="s">
        <v>132</v>
      </c>
      <c r="D47" s="1189" t="s">
        <v>133</v>
      </c>
      <c r="E47" s="1238" t="s">
        <v>509</v>
      </c>
      <c r="F47" s="1238" t="s">
        <v>510</v>
      </c>
      <c r="G47" s="1238" t="s">
        <v>511</v>
      </c>
      <c r="H47" s="1238" t="s">
        <v>512</v>
      </c>
      <c r="I47" s="1238" t="s">
        <v>513</v>
      </c>
      <c r="J47" s="1238" t="s">
        <v>514</v>
      </c>
      <c r="K47" s="1238" t="s">
        <v>515</v>
      </c>
      <c r="L47" s="1238" t="s">
        <v>543</v>
      </c>
      <c r="M47" s="1238" t="s">
        <v>490</v>
      </c>
      <c r="R47" s="300"/>
      <c r="S47" s="300"/>
      <c r="T47" s="300"/>
      <c r="U47" s="2054"/>
      <c r="V47" s="1925"/>
      <c r="W47" s="216"/>
      <c r="X47" s="1900"/>
      <c r="Y47" s="1933"/>
      <c r="Z47" s="1933"/>
      <c r="AA47" s="1138" t="s">
        <v>544</v>
      </c>
      <c r="AB47" s="1138" t="s">
        <v>545</v>
      </c>
      <c r="AC47" s="1933"/>
      <c r="AD47" s="1937"/>
      <c r="AE47" s="1935"/>
      <c r="AF47" s="2060"/>
      <c r="AG47" s="1900"/>
      <c r="AH47" s="1933"/>
      <c r="AI47" s="1933"/>
      <c r="AJ47" s="1138" t="s">
        <v>544</v>
      </c>
      <c r="AK47" s="1138" t="s">
        <v>545</v>
      </c>
      <c r="AL47" s="1933"/>
      <c r="AM47" s="1937"/>
      <c r="AN47" s="1935"/>
      <c r="AO47" s="2060"/>
      <c r="AP47" s="2063"/>
      <c r="AQ47" s="1840"/>
    </row>
    <row r="48" spans="1:48" s="1566" customFormat="1" ht="11.25" hidden="1" customHeight="1">
      <c r="A48" s="1189"/>
      <c r="B48" s="1189"/>
      <c r="C48" s="1189"/>
      <c r="D48" s="1189"/>
      <c r="E48" s="1189"/>
      <c r="F48" s="1189"/>
      <c r="G48" s="1189"/>
      <c r="H48" s="1189"/>
      <c r="I48" s="1189"/>
      <c r="J48" s="1189"/>
      <c r="K48" s="1189"/>
      <c r="L48" s="1189"/>
      <c r="M48" s="1238"/>
      <c r="N48" s="1255"/>
      <c r="O48" s="1255"/>
      <c r="P48" s="1255"/>
      <c r="Q48" s="1165"/>
      <c r="R48" s="1166"/>
      <c r="S48" s="1181">
        <v>1</v>
      </c>
      <c r="T48" s="1181"/>
      <c r="U48" s="1207" t="s">
        <v>105</v>
      </c>
      <c r="V48" s="1182" t="s">
        <v>106</v>
      </c>
      <c r="W48" s="1164" t="str">
        <f ca="1">OFFSET(W48,0,-1)</f>
        <v>2</v>
      </c>
      <c r="X48" s="1262">
        <f ca="1">OFFSET(X48,0,-1)+1</f>
        <v>3</v>
      </c>
      <c r="Y48" s="1268"/>
      <c r="Z48" s="1268"/>
      <c r="AA48" s="1268">
        <f ca="1">OFFSET(AA48,0,-1)+1</f>
        <v>1</v>
      </c>
      <c r="AB48" s="1268">
        <f ca="1">OFFSET(AB48,0,-1)+1</f>
        <v>2</v>
      </c>
      <c r="AC48" s="1262">
        <f ca="1">OFFSET(AC48,0,-1)+1</f>
        <v>3</v>
      </c>
      <c r="AD48" s="2052">
        <f ca="1">OFFSET(AD48,0,-1)+1</f>
        <v>4</v>
      </c>
      <c r="AE48" s="2052"/>
      <c r="AF48" s="1262">
        <f ca="1">OFFSET(AF48,0,-2)+1</f>
        <v>5</v>
      </c>
      <c r="AG48" s="1262">
        <f ca="1">OFFSET(AG48,0,-1)+1</f>
        <v>6</v>
      </c>
      <c r="AH48" s="1262"/>
      <c r="AI48" s="1262"/>
      <c r="AJ48" s="1262">
        <f ca="1">OFFSET(AJ48,0,-1)+1</f>
        <v>1</v>
      </c>
      <c r="AK48" s="1262">
        <f ca="1">OFFSET(AK48,0,-1)+1</f>
        <v>2</v>
      </c>
      <c r="AL48" s="1262">
        <f ca="1">OFFSET(AL48,0,-1)+1</f>
        <v>3</v>
      </c>
      <c r="AM48" s="2052">
        <f ca="1">OFFSET(AM48,0,-1)+1</f>
        <v>4</v>
      </c>
      <c r="AN48" s="2052"/>
      <c r="AO48" s="1262">
        <f ca="1">OFFSET(AO48,0,-2)+1</f>
        <v>5</v>
      </c>
      <c r="AP48" s="1164">
        <f ca="1">OFFSET(AP48,0,-1)</f>
        <v>5</v>
      </c>
      <c r="AQ48" s="1262">
        <f ca="1">OFFSET(AQ48,0,-1)+1</f>
        <v>6</v>
      </c>
      <c r="AR48" s="437"/>
      <c r="AS48" s="437"/>
      <c r="AT48" s="437"/>
      <c r="AU48" s="437"/>
      <c r="AV48" s="437"/>
    </row>
    <row r="49" spans="1:48" ht="21" customHeight="1">
      <c r="A49" s="1196" t="s">
        <v>170</v>
      </c>
      <c r="B49" s="1196"/>
      <c r="C49" s="1196"/>
      <c r="D49" s="1196"/>
      <c r="E49" s="2077">
        <v>1</v>
      </c>
      <c r="F49" s="1196"/>
      <c r="G49" s="1196"/>
      <c r="H49" s="1196"/>
      <c r="I49" s="1196"/>
      <c r="J49" s="1196"/>
      <c r="K49" s="1196"/>
      <c r="L49" s="1196"/>
      <c r="M49" s="1238"/>
      <c r="N49" s="608"/>
      <c r="O49" s="608"/>
      <c r="P49" s="608"/>
      <c r="Q49" s="282"/>
      <c r="R49" s="281"/>
      <c r="S49" s="281"/>
      <c r="T49" s="276"/>
      <c r="U49" s="1263">
        <f>INDEX(PT_DIFFERENTIATION_NUM_NTAR,MATCH(A49,PT_DIFFERENTIATION_NTAR_ID,0))</f>
        <v>0</v>
      </c>
      <c r="V49" s="212" t="s">
        <v>119</v>
      </c>
      <c r="W49" s="214"/>
      <c r="X49" s="2036"/>
      <c r="Y49" s="2037"/>
      <c r="Z49" s="2037"/>
      <c r="AA49" s="2037"/>
      <c r="AB49" s="2037"/>
      <c r="AC49" s="2037"/>
      <c r="AD49" s="2037"/>
      <c r="AE49" s="2037"/>
      <c r="AF49" s="2038"/>
      <c r="AG49" s="2036" t="str">
        <f>INDEX(PT_DIFFERENTIATION_NTAR,MATCH(A49,PT_DIFFERENTIATION_NTAR_ID,0))</f>
        <v/>
      </c>
      <c r="AH49" s="2037"/>
      <c r="AI49" s="2037"/>
      <c r="AJ49" s="2037"/>
      <c r="AK49" s="2037"/>
      <c r="AL49" s="2037"/>
      <c r="AM49" s="2037"/>
      <c r="AN49" s="2037"/>
      <c r="AO49" s="2037"/>
      <c r="AP49" s="2038"/>
      <c r="AQ49" s="11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6"/>
      <c r="AT49" s="426" t="str">
        <f t="shared" ref="AT49:AT65" si="2">IF(V49="","",V49)</f>
        <v>Наименование тарифа</v>
      </c>
      <c r="AU49" s="426"/>
      <c r="AV49" s="426"/>
    </row>
    <row r="50" spans="1:48" ht="21" customHeight="1">
      <c r="A50" s="1196" t="s">
        <v>170</v>
      </c>
      <c r="B50" s="1196" t="s">
        <v>171</v>
      </c>
      <c r="C50" s="1196"/>
      <c r="D50" s="1196"/>
      <c r="E50" s="2078"/>
      <c r="F50" s="2077">
        <v>1</v>
      </c>
      <c r="G50" s="1196"/>
      <c r="H50" s="1196"/>
      <c r="I50" s="1196"/>
      <c r="J50" s="1196"/>
      <c r="K50" s="1196"/>
      <c r="L50" s="1196"/>
      <c r="M50" s="1238"/>
      <c r="N50" s="608"/>
      <c r="O50" s="608"/>
      <c r="P50" s="608"/>
      <c r="Q50" s="1259"/>
      <c r="R50" s="273"/>
      <c r="S50" s="435"/>
      <c r="T50" s="274"/>
      <c r="U50" s="1263" t="str">
        <f>INDEX(PT_DIFFERENTIATION_NUM_TER,MATCH(B50,PT_DIFFERENTIATION_TER_ID,0))</f>
        <v>.</v>
      </c>
      <c r="V50" s="224" t="s">
        <v>472</v>
      </c>
      <c r="W50" s="214"/>
      <c r="X50" s="2036"/>
      <c r="Y50" s="2037"/>
      <c r="Z50" s="2037"/>
      <c r="AA50" s="2037"/>
      <c r="AB50" s="2037"/>
      <c r="AC50" s="2037"/>
      <c r="AD50" s="2037"/>
      <c r="AE50" s="2037"/>
      <c r="AF50" s="2038"/>
      <c r="AG50" s="2036" t="str">
        <f>INDEX(PT_DIFFERENTIATION_TER,MATCH(B50,PT_DIFFERENTIATION_TER_ID,0))</f>
        <v/>
      </c>
      <c r="AH50" s="2037"/>
      <c r="AI50" s="2037"/>
      <c r="AJ50" s="2037"/>
      <c r="AK50" s="2037"/>
      <c r="AL50" s="2037"/>
      <c r="AM50" s="2037"/>
      <c r="AN50" s="2037"/>
      <c r="AO50" s="2037"/>
      <c r="AP50" s="2038"/>
      <c r="AQ50" s="1187" t="s">
        <v>473</v>
      </c>
      <c r="AS50" s="426"/>
      <c r="AT50" s="426" t="str">
        <f t="shared" si="2"/>
        <v>Территория действия тарифа</v>
      </c>
      <c r="AU50" s="426"/>
      <c r="AV50" s="426"/>
    </row>
    <row r="51" spans="1:48" ht="22.5" customHeight="1">
      <c r="A51" s="1196" t="s">
        <v>170</v>
      </c>
      <c r="B51" s="1196" t="s">
        <v>171</v>
      </c>
      <c r="C51" s="1196" t="s">
        <v>172</v>
      </c>
      <c r="D51" s="1196"/>
      <c r="E51" s="2078"/>
      <c r="F51" s="2078"/>
      <c r="G51" s="2077">
        <v>1</v>
      </c>
      <c r="H51" s="1196"/>
      <c r="I51" s="1196"/>
      <c r="J51" s="1196"/>
      <c r="K51" s="1196"/>
      <c r="L51" s="1196"/>
      <c r="M51" s="1238"/>
      <c r="N51" s="608"/>
      <c r="O51" s="608"/>
      <c r="P51" s="608"/>
      <c r="Q51" s="275"/>
      <c r="R51" s="273"/>
      <c r="S51" s="435"/>
      <c r="T51" s="274"/>
      <c r="U51" s="1263" t="str">
        <f>INDEX(PT_DIFFERENTIATION_NUM_CS,MATCH(C51,PT_DIFFERENTIATION_CS_ID,0))</f>
        <v>..</v>
      </c>
      <c r="V51" s="225" t="s">
        <v>474</v>
      </c>
      <c r="W51" s="214"/>
      <c r="X51" s="2036"/>
      <c r="Y51" s="2037"/>
      <c r="Z51" s="2037"/>
      <c r="AA51" s="2037"/>
      <c r="AB51" s="2037"/>
      <c r="AC51" s="2037"/>
      <c r="AD51" s="2037"/>
      <c r="AE51" s="2037"/>
      <c r="AF51" s="2038"/>
      <c r="AG51" s="2036" t="str">
        <f>INDEX(PT_DIFFERENTIATION_CS,MATCH(C51,PT_DIFFERENTIATION_CS_ID,0))</f>
        <v/>
      </c>
      <c r="AH51" s="2037"/>
      <c r="AI51" s="2037"/>
      <c r="AJ51" s="2037"/>
      <c r="AK51" s="2037"/>
      <c r="AL51" s="2037"/>
      <c r="AM51" s="2037"/>
      <c r="AN51" s="2037"/>
      <c r="AO51" s="2037"/>
      <c r="AP51" s="2038"/>
      <c r="AQ51" s="1187" t="s">
        <v>475</v>
      </c>
      <c r="AS51" s="426"/>
      <c r="AT51" s="426" t="str">
        <f t="shared" si="2"/>
        <v xml:space="preserve">Наименование системы теплоснабжения </v>
      </c>
      <c r="AU51" s="426"/>
      <c r="AV51" s="426"/>
    </row>
    <row r="52" spans="1:48" ht="21" customHeight="1">
      <c r="A52" s="1196" t="s">
        <v>170</v>
      </c>
      <c r="B52" s="1196" t="s">
        <v>171</v>
      </c>
      <c r="C52" s="1196" t="s">
        <v>172</v>
      </c>
      <c r="D52" s="1196" t="s">
        <v>173</v>
      </c>
      <c r="E52" s="2078"/>
      <c r="F52" s="2078"/>
      <c r="G52" s="2078"/>
      <c r="H52" s="2077">
        <v>1</v>
      </c>
      <c r="I52" s="1196"/>
      <c r="J52" s="1196"/>
      <c r="K52" s="1196"/>
      <c r="L52" s="1196"/>
      <c r="M52" s="1238"/>
      <c r="N52" s="608"/>
      <c r="O52" s="608"/>
      <c r="P52" s="608"/>
      <c r="Q52" s="275"/>
      <c r="R52" s="273"/>
      <c r="S52" s="435"/>
      <c r="T52" s="274"/>
      <c r="U52" s="1263" t="str">
        <f>INDEX(PT_DIFFERENTIATION_NUM_IST_TE,MATCH(D52,PT_DIFFERENTIATION_IST_TE_ID,0))</f>
        <v>...</v>
      </c>
      <c r="V52" s="226" t="s">
        <v>476</v>
      </c>
      <c r="W52" s="214"/>
      <c r="X52" s="2036"/>
      <c r="Y52" s="2037"/>
      <c r="Z52" s="2037"/>
      <c r="AA52" s="2037"/>
      <c r="AB52" s="2037"/>
      <c r="AC52" s="2037"/>
      <c r="AD52" s="2037"/>
      <c r="AE52" s="2037"/>
      <c r="AF52" s="2038"/>
      <c r="AG52" s="2036" t="str">
        <f>INDEX(PT_DIFFERENTIATION_IST_TE,MATCH(D52,PT_DIFFERENTIATION_IST_TE_ID,0))</f>
        <v/>
      </c>
      <c r="AH52" s="2037"/>
      <c r="AI52" s="2037"/>
      <c r="AJ52" s="2037"/>
      <c r="AK52" s="2037"/>
      <c r="AL52" s="2037"/>
      <c r="AM52" s="2037"/>
      <c r="AN52" s="2037"/>
      <c r="AO52" s="2037"/>
      <c r="AP52" s="2038"/>
      <c r="AQ52" s="1187" t="s">
        <v>477</v>
      </c>
      <c r="AS52" s="426"/>
      <c r="AT52" s="426" t="str">
        <f t="shared" si="2"/>
        <v xml:space="preserve">Источник тепловой энергии  </v>
      </c>
      <c r="AU52" s="426"/>
      <c r="AV52" s="426"/>
    </row>
    <row r="53" spans="1:48" s="1567" customFormat="1" ht="0" hidden="1" customHeight="1">
      <c r="A53" s="1301" t="s">
        <v>170</v>
      </c>
      <c r="B53" s="1301" t="s">
        <v>171</v>
      </c>
      <c r="C53" s="1301" t="s">
        <v>172</v>
      </c>
      <c r="D53" s="1301" t="s">
        <v>173</v>
      </c>
      <c r="E53" s="2078"/>
      <c r="F53" s="2078"/>
      <c r="G53" s="2078"/>
      <c r="H53" s="2078"/>
      <c r="I53" s="1840" t="str">
        <f>U52&amp;".1"</f>
        <v>....1</v>
      </c>
      <c r="J53" s="1301"/>
      <c r="K53" s="1301"/>
      <c r="L53" s="1301"/>
      <c r="M53" s="1307" t="s">
        <v>478</v>
      </c>
      <c r="N53" s="1165"/>
      <c r="O53" s="1165"/>
      <c r="P53" s="1165"/>
      <c r="Q53" s="1961">
        <v>1</v>
      </c>
      <c r="R53" s="1258"/>
      <c r="S53" s="1258"/>
      <c r="T53" s="277"/>
      <c r="U53" s="958"/>
      <c r="V53" s="1309"/>
      <c r="W53" s="1310"/>
      <c r="X53" s="2071"/>
      <c r="Y53" s="2072"/>
      <c r="Z53" s="2072"/>
      <c r="AA53" s="2072"/>
      <c r="AB53" s="2072"/>
      <c r="AC53" s="2072"/>
      <c r="AD53" s="2072"/>
      <c r="AE53" s="2072"/>
      <c r="AF53" s="2073"/>
      <c r="AG53" s="2071"/>
      <c r="AH53" s="2072"/>
      <c r="AI53" s="2072"/>
      <c r="AJ53" s="2072"/>
      <c r="AK53" s="2072"/>
      <c r="AL53" s="2072"/>
      <c r="AM53" s="2072"/>
      <c r="AN53" s="2072"/>
      <c r="AO53" s="2072"/>
      <c r="AP53" s="2073"/>
      <c r="AQ53" s="1311"/>
      <c r="AS53" s="426"/>
      <c r="AT53" s="426" t="str">
        <f t="shared" si="2"/>
        <v/>
      </c>
      <c r="AU53" s="426"/>
      <c r="AV53" s="426"/>
    </row>
    <row r="54" spans="1:48" ht="21" customHeight="1">
      <c r="A54" s="1196" t="s">
        <v>170</v>
      </c>
      <c r="B54" s="1196" t="s">
        <v>171</v>
      </c>
      <c r="C54" s="1196" t="s">
        <v>172</v>
      </c>
      <c r="D54" s="1196" t="s">
        <v>173</v>
      </c>
      <c r="E54" s="2078"/>
      <c r="F54" s="2078"/>
      <c r="G54" s="2078"/>
      <c r="H54" s="2078"/>
      <c r="I54" s="1822"/>
      <c r="J54" s="1840" t="str">
        <f>I53&amp;".1"</f>
        <v>....1.1</v>
      </c>
      <c r="K54" s="1196"/>
      <c r="L54" s="1196"/>
      <c r="M54" s="1238" t="s">
        <v>481</v>
      </c>
      <c r="Q54" s="1961"/>
      <c r="R54" s="1961">
        <v>1</v>
      </c>
      <c r="S54" s="444"/>
      <c r="T54" s="278"/>
      <c r="U54" s="1263" t="str">
        <f>$J54</f>
        <v>....1.1</v>
      </c>
      <c r="V54" s="201" t="s">
        <v>482</v>
      </c>
      <c r="W54" s="214"/>
      <c r="X54" s="2030"/>
      <c r="Y54" s="2031"/>
      <c r="Z54" s="2031"/>
      <c r="AA54" s="2031"/>
      <c r="AB54" s="2031"/>
      <c r="AC54" s="1948"/>
      <c r="AD54" s="1948"/>
      <c r="AE54" s="1948"/>
      <c r="AF54" s="2079"/>
      <c r="AG54" s="2030"/>
      <c r="AH54" s="2031"/>
      <c r="AI54" s="2031"/>
      <c r="AJ54" s="2031"/>
      <c r="AK54" s="2031"/>
      <c r="AL54" s="2031"/>
      <c r="AM54" s="2031"/>
      <c r="AN54" s="2031"/>
      <c r="AO54" s="2031"/>
      <c r="AP54" s="2032"/>
      <c r="AQ54" s="1187" t="s">
        <v>483</v>
      </c>
      <c r="AS54" s="426"/>
      <c r="AT54" s="426" t="str">
        <f t="shared" si="2"/>
        <v>Группа потребителей</v>
      </c>
      <c r="AU54" s="426"/>
      <c r="AV54" s="426"/>
    </row>
    <row r="55" spans="1:48" ht="21" customHeight="1">
      <c r="A55" s="1196" t="s">
        <v>170</v>
      </c>
      <c r="B55" s="1196" t="s">
        <v>171</v>
      </c>
      <c r="C55" s="1196" t="s">
        <v>172</v>
      </c>
      <c r="D55" s="1196" t="s">
        <v>173</v>
      </c>
      <c r="E55" s="2078"/>
      <c r="F55" s="2078"/>
      <c r="G55" s="2078"/>
      <c r="H55" s="2078"/>
      <c r="I55" s="1822"/>
      <c r="J55" s="1822"/>
      <c r="K55" s="1840" t="str">
        <f>J54&amp;".1"</f>
        <v>....1.1.1</v>
      </c>
      <c r="L55" s="61"/>
      <c r="M55" s="1238" t="s">
        <v>484</v>
      </c>
      <c r="Q55" s="1961"/>
      <c r="R55" s="1961"/>
      <c r="S55" s="444">
        <v>1</v>
      </c>
      <c r="T55" s="278"/>
      <c r="U55" s="1263" t="str">
        <f>$K55</f>
        <v>....1.1.1</v>
      </c>
      <c r="V55" s="1274"/>
      <c r="W55" s="214"/>
      <c r="X55" s="669"/>
      <c r="Y55" s="669"/>
      <c r="Z55" s="669"/>
      <c r="AA55" s="669"/>
      <c r="AB55" s="1331"/>
      <c r="AC55" s="2046"/>
      <c r="AD55" s="1850" t="s">
        <v>58</v>
      </c>
      <c r="AE55" s="2046"/>
      <c r="AF55" s="1850" t="s">
        <v>58</v>
      </c>
      <c r="AG55" s="1333"/>
      <c r="AH55" s="669"/>
      <c r="AI55" s="669"/>
      <c r="AJ55" s="669"/>
      <c r="AK55" s="1186"/>
      <c r="AL55" s="2046"/>
      <c r="AM55" s="1850" t="s">
        <v>58</v>
      </c>
      <c r="AN55" s="2046"/>
      <c r="AO55" s="1850" t="s">
        <v>58</v>
      </c>
      <c r="AP55" s="1275"/>
      <c r="AQ55" s="1236" t="s">
        <v>534</v>
      </c>
      <c r="AR55" s="437" t="e">
        <f ca="1">STRCHECKDATE(X57:AP57)</f>
        <v>#NAME?</v>
      </c>
      <c r="AS55" s="426"/>
      <c r="AT55" s="426" t="str">
        <f t="shared" si="2"/>
        <v/>
      </c>
      <c r="AU55" s="426"/>
      <c r="AV55" s="426"/>
    </row>
    <row r="56" spans="1:48" ht="11.25" customHeight="1">
      <c r="A56" s="1196" t="s">
        <v>170</v>
      </c>
      <c r="B56" s="1196" t="s">
        <v>171</v>
      </c>
      <c r="C56" s="1196" t="s">
        <v>172</v>
      </c>
      <c r="D56" s="1196" t="s">
        <v>173</v>
      </c>
      <c r="E56" s="2078"/>
      <c r="F56" s="2078"/>
      <c r="G56" s="2078"/>
      <c r="H56" s="2078"/>
      <c r="I56" s="1822"/>
      <c r="J56" s="1822"/>
      <c r="K56" s="1822"/>
      <c r="L56" s="1840" t="str">
        <f>K55&amp;".1"</f>
        <v>....1.1.1.1</v>
      </c>
      <c r="M56" s="1238"/>
      <c r="Q56" s="1961"/>
      <c r="R56" s="1961"/>
      <c r="S56" s="444">
        <v>1</v>
      </c>
      <c r="T56" s="278"/>
      <c r="U56" s="1263" t="str">
        <f>$L56</f>
        <v>....1.1.1.1</v>
      </c>
      <c r="V56" s="1317"/>
      <c r="W56" s="214"/>
      <c r="X56" s="246"/>
      <c r="Y56" s="669"/>
      <c r="Z56" s="669"/>
      <c r="AA56" s="669"/>
      <c r="AB56" s="1331"/>
      <c r="AC56" s="2047"/>
      <c r="AD56" s="1850"/>
      <c r="AE56" s="2047"/>
      <c r="AF56" s="1850"/>
      <c r="AG56" s="1333"/>
      <c r="AH56" s="669"/>
      <c r="AI56" s="669"/>
      <c r="AJ56" s="669"/>
      <c r="AK56" s="1186"/>
      <c r="AL56" s="2047"/>
      <c r="AM56" s="1850"/>
      <c r="AN56" s="2047"/>
      <c r="AO56" s="1850"/>
      <c r="AP56" s="1275"/>
      <c r="AQ56" s="2064" t="s">
        <v>535</v>
      </c>
      <c r="AR56" s="437" t="e">
        <f ca="1">STRCHECKDATE(X58:AP58)</f>
        <v>#NAME?</v>
      </c>
      <c r="AS56" s="426"/>
      <c r="AT56" s="426" t="str">
        <f t="shared" si="2"/>
        <v/>
      </c>
      <c r="AU56" s="426"/>
      <c r="AV56" s="426"/>
    </row>
    <row r="57" spans="1:48" ht="0" hidden="1" customHeight="1">
      <c r="A57" s="1196" t="s">
        <v>170</v>
      </c>
      <c r="B57" s="1196" t="s">
        <v>171</v>
      </c>
      <c r="C57" s="1196" t="s">
        <v>172</v>
      </c>
      <c r="D57" s="1196" t="s">
        <v>173</v>
      </c>
      <c r="E57" s="2078"/>
      <c r="F57" s="2078"/>
      <c r="G57" s="2078"/>
      <c r="H57" s="2078"/>
      <c r="I57" s="1822"/>
      <c r="J57" s="1822"/>
      <c r="K57" s="1822"/>
      <c r="L57" s="1840"/>
      <c r="M57" s="1238"/>
      <c r="Q57" s="1961"/>
      <c r="R57" s="1961"/>
      <c r="S57" s="444"/>
      <c r="T57" s="278"/>
      <c r="U57" s="1269"/>
      <c r="V57" s="214"/>
      <c r="W57" s="214"/>
      <c r="X57" s="246"/>
      <c r="Y57" s="246"/>
      <c r="Z57" s="246"/>
      <c r="AA57" s="246"/>
      <c r="AB57" s="1332" t="str">
        <f>AC55&amp;"-"&amp;AE55</f>
        <v>-</v>
      </c>
      <c r="AC57" s="2047"/>
      <c r="AD57" s="1850"/>
      <c r="AE57" s="2047"/>
      <c r="AF57" s="1850"/>
      <c r="AG57" s="1308"/>
      <c r="AH57" s="246"/>
      <c r="AI57" s="246"/>
      <c r="AJ57" s="246"/>
      <c r="AK57" s="250" t="str">
        <f>AL55&amp;"-"&amp;AN55</f>
        <v>-</v>
      </c>
      <c r="AL57" s="2047"/>
      <c r="AM57" s="1850"/>
      <c r="AN57" s="2047"/>
      <c r="AO57" s="1850"/>
      <c r="AP57" s="1276"/>
      <c r="AQ57" s="2065"/>
      <c r="AS57" s="426"/>
      <c r="AT57" s="426" t="str">
        <f t="shared" si="2"/>
        <v/>
      </c>
      <c r="AU57" s="426"/>
      <c r="AV57" s="426"/>
    </row>
    <row r="58" spans="1:48" ht="11.25" customHeight="1">
      <c r="A58" s="1196" t="s">
        <v>170</v>
      </c>
      <c r="B58" s="1196" t="s">
        <v>171</v>
      </c>
      <c r="C58" s="1196" t="s">
        <v>172</v>
      </c>
      <c r="D58" s="1196" t="s">
        <v>173</v>
      </c>
      <c r="E58" s="2078"/>
      <c r="F58" s="2078"/>
      <c r="G58" s="2078"/>
      <c r="H58" s="2078"/>
      <c r="I58" s="1822"/>
      <c r="J58" s="1822"/>
      <c r="K58" s="1840"/>
      <c r="L58" s="1196"/>
      <c r="M58" s="1238"/>
      <c r="Q58" s="1961"/>
      <c r="R58" s="1961"/>
      <c r="S58" s="1258"/>
      <c r="T58" s="277"/>
      <c r="U58" s="1208"/>
      <c r="V58" s="203" t="s">
        <v>536</v>
      </c>
      <c r="W58" s="291"/>
      <c r="X58" s="291"/>
      <c r="Y58" s="291"/>
      <c r="Z58" s="291"/>
      <c r="AA58" s="291"/>
      <c r="AB58" s="291"/>
      <c r="AC58" s="2047"/>
      <c r="AD58" s="1850"/>
      <c r="AE58" s="2047"/>
      <c r="AF58" s="1850"/>
      <c r="AG58" s="291"/>
      <c r="AH58" s="291"/>
      <c r="AI58" s="291"/>
      <c r="AJ58" s="291"/>
      <c r="AK58" s="291"/>
      <c r="AL58" s="2047"/>
      <c r="AM58" s="1850"/>
      <c r="AN58" s="2047"/>
      <c r="AO58" s="1850"/>
      <c r="AP58" s="245"/>
      <c r="AQ58" s="2065"/>
      <c r="AS58" s="426"/>
      <c r="AT58" s="426" t="str">
        <f t="shared" si="2"/>
        <v>Добавить наименование поставщика</v>
      </c>
      <c r="AU58" s="426"/>
      <c r="AV58" s="426"/>
    </row>
    <row r="59" spans="1:48" ht="11.25" customHeight="1">
      <c r="A59" s="1196" t="s">
        <v>170</v>
      </c>
      <c r="B59" s="1196" t="s">
        <v>171</v>
      </c>
      <c r="C59" s="1196" t="s">
        <v>172</v>
      </c>
      <c r="D59" s="1196" t="s">
        <v>173</v>
      </c>
      <c r="E59" s="2078"/>
      <c r="F59" s="2078"/>
      <c r="G59" s="2078"/>
      <c r="H59" s="2078"/>
      <c r="I59" s="1822"/>
      <c r="J59" s="1840"/>
      <c r="K59" s="1196"/>
      <c r="L59" s="1196"/>
      <c r="M59" s="1238"/>
      <c r="Q59" s="1961"/>
      <c r="R59" s="1961"/>
      <c r="S59" s="1258"/>
      <c r="T59" s="277"/>
      <c r="U59" s="1208"/>
      <c r="V59" s="202" t="s">
        <v>486</v>
      </c>
      <c r="W59" s="291"/>
      <c r="X59" s="291"/>
      <c r="Y59" s="291"/>
      <c r="Z59" s="291"/>
      <c r="AA59" s="291"/>
      <c r="AB59" s="291"/>
      <c r="AC59" s="1334"/>
      <c r="AD59" s="1334"/>
      <c r="AE59" s="1334"/>
      <c r="AF59" s="1334"/>
      <c r="AG59" s="291"/>
      <c r="AH59" s="291"/>
      <c r="AI59" s="291"/>
      <c r="AJ59" s="291"/>
      <c r="AK59" s="291"/>
      <c r="AL59" s="291"/>
      <c r="AM59" s="291"/>
      <c r="AN59" s="291"/>
      <c r="AO59" s="291"/>
      <c r="AP59" s="245"/>
      <c r="AQ59" s="2066"/>
      <c r="AS59" s="426"/>
      <c r="AT59" s="426" t="str">
        <f t="shared" si="2"/>
        <v>Добавить вид теплоносителя (параметры теплоносителя)</v>
      </c>
      <c r="AU59" s="426"/>
      <c r="AV59" s="426"/>
    </row>
    <row r="60" spans="1:48" ht="11.25" customHeight="1">
      <c r="A60" s="1196" t="s">
        <v>170</v>
      </c>
      <c r="B60" s="1196" t="s">
        <v>171</v>
      </c>
      <c r="C60" s="1196" t="s">
        <v>172</v>
      </c>
      <c r="D60" s="1196" t="s">
        <v>173</v>
      </c>
      <c r="E60" s="2078"/>
      <c r="F60" s="2078"/>
      <c r="G60" s="2078"/>
      <c r="H60" s="2078"/>
      <c r="I60" s="1840"/>
      <c r="J60" s="1196"/>
      <c r="K60" s="1196"/>
      <c r="L60" s="1196"/>
      <c r="M60" s="1238"/>
      <c r="Q60" s="1961"/>
      <c r="R60" s="1258"/>
      <c r="S60" s="1258"/>
      <c r="T60" s="277"/>
      <c r="U60" s="1208"/>
      <c r="V60" s="288" t="s">
        <v>487</v>
      </c>
      <c r="W60" s="291"/>
      <c r="X60" s="291"/>
      <c r="Y60" s="291"/>
      <c r="Z60" s="291"/>
      <c r="AA60" s="291"/>
      <c r="AB60" s="291"/>
      <c r="AC60" s="291"/>
      <c r="AD60" s="291"/>
      <c r="AE60" s="291"/>
      <c r="AF60" s="290"/>
      <c r="AG60" s="291"/>
      <c r="AH60" s="291"/>
      <c r="AI60" s="291"/>
      <c r="AJ60" s="291"/>
      <c r="AK60" s="291"/>
      <c r="AL60" s="291"/>
      <c r="AM60" s="291"/>
      <c r="AN60" s="291"/>
      <c r="AO60" s="290"/>
      <c r="AP60" s="291"/>
      <c r="AQ60" s="217"/>
      <c r="AS60" s="426"/>
      <c r="AT60" s="426" t="str">
        <f t="shared" si="2"/>
        <v>Добавить группу потребителей</v>
      </c>
      <c r="AU60" s="426"/>
      <c r="AV60" s="426"/>
    </row>
    <row r="61" spans="1:48" ht="0" hidden="1" customHeight="1">
      <c r="A61" s="1196" t="s">
        <v>170</v>
      </c>
      <c r="B61" s="1196" t="s">
        <v>171</v>
      </c>
      <c r="C61" s="1196" t="s">
        <v>172</v>
      </c>
      <c r="D61" s="1196" t="s">
        <v>173</v>
      </c>
      <c r="E61" s="2078"/>
      <c r="F61" s="2078"/>
      <c r="G61" s="2078"/>
      <c r="H61" s="2077"/>
      <c r="I61" s="1196"/>
      <c r="J61" s="1196"/>
      <c r="K61" s="1196"/>
      <c r="L61" s="1196"/>
      <c r="M61" s="1238"/>
      <c r="N61" s="608"/>
      <c r="O61" s="608"/>
      <c r="P61" s="435"/>
      <c r="Q61" s="281"/>
      <c r="R61" s="299"/>
      <c r="S61" s="276"/>
      <c r="T61" s="281"/>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26"/>
      <c r="AT61" s="426" t="str">
        <f t="shared" si="2"/>
        <v/>
      </c>
      <c r="AU61" s="426"/>
      <c r="AV61" s="426"/>
    </row>
    <row r="62" spans="1:48" s="1567" customFormat="1" ht="0" hidden="1" customHeight="1">
      <c r="A62" s="1301" t="s">
        <v>170</v>
      </c>
      <c r="B62" s="1301" t="s">
        <v>171</v>
      </c>
      <c r="C62" s="1301" t="s">
        <v>172</v>
      </c>
      <c r="D62" s="1300"/>
      <c r="E62" s="2078"/>
      <c r="F62" s="2078"/>
      <c r="G62" s="2077"/>
      <c r="H62" s="1300"/>
      <c r="I62" s="1300"/>
      <c r="J62" s="1300"/>
      <c r="K62" s="1300"/>
      <c r="L62" s="1300"/>
      <c r="M62" s="1303"/>
      <c r="N62" s="1304"/>
      <c r="O62" s="1304"/>
      <c r="P62" s="272"/>
      <c r="Q62" s="1244"/>
      <c r="R62" s="1245"/>
      <c r="S62" s="1244"/>
      <c r="T62" s="1244"/>
      <c r="U62" s="1250"/>
      <c r="V62" s="1253" t="s">
        <v>445</v>
      </c>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S62" s="707"/>
      <c r="AT62" s="707" t="str">
        <f t="shared" si="2"/>
        <v>Добавить источник для дифференциации</v>
      </c>
      <c r="AU62" s="707"/>
      <c r="AV62" s="707"/>
    </row>
    <row r="63" spans="1:48" s="1567" customFormat="1" ht="0" hidden="1" customHeight="1">
      <c r="A63" s="1301" t="s">
        <v>170</v>
      </c>
      <c r="B63" s="1301" t="s">
        <v>171</v>
      </c>
      <c r="C63" s="1300"/>
      <c r="D63" s="1300"/>
      <c r="E63" s="2078"/>
      <c r="F63" s="2077"/>
      <c r="G63" s="1300"/>
      <c r="H63" s="1300"/>
      <c r="I63" s="1300"/>
      <c r="J63" s="1300"/>
      <c r="K63" s="1300"/>
      <c r="L63" s="1300"/>
      <c r="M63" s="1303"/>
      <c r="N63" s="1305"/>
      <c r="O63" s="1305"/>
      <c r="P63" s="272"/>
      <c r="Q63" s="1244"/>
      <c r="R63" s="1245"/>
      <c r="S63" s="1244"/>
      <c r="T63" s="1244"/>
      <c r="U63" s="1250"/>
      <c r="V63" s="1253" t="s">
        <v>446</v>
      </c>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S63" s="707"/>
      <c r="AT63" s="707" t="str">
        <f t="shared" si="2"/>
        <v>Добавить централизованную систему для дифференциации</v>
      </c>
      <c r="AU63" s="707"/>
      <c r="AV63" s="707"/>
    </row>
    <row r="64" spans="1:48" s="1567" customFormat="1" ht="0" hidden="1" customHeight="1">
      <c r="A64" s="1301" t="s">
        <v>170</v>
      </c>
      <c r="B64" s="1301"/>
      <c r="C64" s="1301"/>
      <c r="D64" s="1301"/>
      <c r="E64" s="2077"/>
      <c r="F64" s="1301"/>
      <c r="G64" s="1301"/>
      <c r="H64" s="1301"/>
      <c r="I64" s="1301"/>
      <c r="J64" s="1301"/>
      <c r="K64" s="1301"/>
      <c r="L64" s="1301"/>
      <c r="M64" s="1307"/>
      <c r="N64" s="1305"/>
      <c r="O64" s="1305"/>
      <c r="P64" s="272"/>
      <c r="Q64" s="308"/>
      <c r="R64" s="1271"/>
      <c r="S64" s="308"/>
      <c r="T64" s="308"/>
      <c r="U64" s="1250"/>
      <c r="V64" s="1253" t="s">
        <v>447</v>
      </c>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S64" s="426"/>
      <c r="AT64" s="426" t="str">
        <f t="shared" si="2"/>
        <v>Добавить территорию для дифференциации</v>
      </c>
      <c r="AU64" s="426"/>
      <c r="AV64" s="426"/>
    </row>
    <row r="65" spans="1:48" s="1567" customFormat="1" ht="5.25" customHeight="1">
      <c r="A65" s="1300"/>
      <c r="B65" s="1300"/>
      <c r="C65" s="1300"/>
      <c r="D65" s="1300"/>
      <c r="E65" s="1301"/>
      <c r="F65" s="1300"/>
      <c r="G65" s="1300"/>
      <c r="H65" s="1300"/>
      <c r="I65" s="1300"/>
      <c r="J65" s="1300"/>
      <c r="K65" s="1300"/>
      <c r="L65" s="1300"/>
      <c r="M65" s="1303"/>
      <c r="N65" s="1305"/>
      <c r="O65" s="1305"/>
      <c r="P65" s="272"/>
      <c r="Q65" s="1244"/>
      <c r="R65" s="1245"/>
      <c r="S65" s="1244"/>
      <c r="T65" s="1244"/>
      <c r="U65" s="1250"/>
      <c r="V65" s="1253" t="s">
        <v>448</v>
      </c>
      <c r="W65" s="1252"/>
      <c r="X65" s="1252"/>
      <c r="Y65" s="1252"/>
      <c r="Z65" s="1252"/>
      <c r="AA65" s="1252"/>
      <c r="AB65" s="1252"/>
      <c r="AC65" s="1252"/>
      <c r="AD65" s="1252"/>
      <c r="AE65" s="1252"/>
      <c r="AF65" s="1252"/>
      <c r="AG65" s="1252"/>
      <c r="AH65" s="1252"/>
      <c r="AI65" s="1252"/>
      <c r="AJ65" s="1252"/>
      <c r="AK65" s="1252"/>
      <c r="AL65" s="1252"/>
      <c r="AM65" s="1252"/>
      <c r="AN65" s="1252"/>
      <c r="AO65" s="1252"/>
      <c r="AP65" s="1252"/>
      <c r="AQ65" s="1252"/>
      <c r="AS65" s="707"/>
      <c r="AT65" s="707" t="str">
        <f t="shared" si="2"/>
        <v>Добавить наименование тарифа</v>
      </c>
      <c r="AU65" s="707"/>
      <c r="AV65" s="707"/>
    </row>
    <row r="66" spans="1:48" ht="11.25" hidden="1" customHeight="1">
      <c r="N66" s="1065"/>
      <c r="O66" s="1065"/>
      <c r="P66" s="435"/>
      <c r="Q66" s="1065"/>
      <c r="R66" s="1065"/>
      <c r="S66" s="1065"/>
      <c r="T66" s="1065"/>
      <c r="U66" s="1065"/>
      <c r="AR66" s="1065"/>
      <c r="AS66" s="1065"/>
      <c r="AT66" s="1065"/>
      <c r="AU66" s="1065"/>
      <c r="AV66" s="1065"/>
    </row>
    <row r="67" spans="1:48" ht="33.75" hidden="1" customHeight="1">
      <c r="P67" s="435"/>
      <c r="U67" s="1174" t="s">
        <v>520</v>
      </c>
      <c r="V67" s="2041" t="s">
        <v>530</v>
      </c>
      <c r="W67" s="2041"/>
      <c r="X67" s="2041"/>
      <c r="Y67" s="2041"/>
      <c r="Z67" s="2041"/>
      <c r="AA67" s="2041"/>
      <c r="AB67" s="2041"/>
      <c r="AC67" s="2041"/>
      <c r="AD67" s="2041"/>
      <c r="AE67" s="2041"/>
      <c r="AF67" s="2041"/>
      <c r="AG67" s="2041"/>
      <c r="AH67" s="2041"/>
      <c r="AI67" s="2041"/>
      <c r="AJ67" s="2041"/>
      <c r="AK67" s="2041"/>
      <c r="AL67" s="2041"/>
      <c r="AM67" s="2041"/>
      <c r="AN67" s="2041"/>
      <c r="AO67" s="2041"/>
      <c r="AP67" s="2041"/>
      <c r="AQ67" s="2041"/>
    </row>
    <row r="68" spans="1:48" ht="19.5" hidden="1" customHeight="1">
      <c r="P68" s="435"/>
      <c r="V68" s="2041" t="s">
        <v>546</v>
      </c>
      <c r="W68" s="2041"/>
      <c r="X68" s="2041"/>
      <c r="Y68" s="2041"/>
      <c r="Z68" s="2041"/>
      <c r="AA68" s="2041"/>
      <c r="AB68" s="2041"/>
      <c r="AC68" s="2041"/>
      <c r="AD68" s="2041"/>
      <c r="AE68" s="2041"/>
      <c r="AF68" s="2041"/>
      <c r="AG68" s="2041"/>
      <c r="AH68" s="2041"/>
      <c r="AI68" s="2041"/>
      <c r="AJ68" s="2041"/>
      <c r="AK68" s="2041"/>
      <c r="AL68" s="2041"/>
      <c r="AM68" s="2041"/>
      <c r="AN68" s="2041"/>
      <c r="AO68" s="2041"/>
      <c r="AP68" s="2041"/>
      <c r="AQ68" s="2041"/>
    </row>
    <row r="69" spans="1:48" ht="14.25" hidden="1" customHeight="1">
      <c r="P69" s="435"/>
    </row>
    <row r="70" spans="1:48" ht="27" hidden="1" customHeight="1">
      <c r="P70" s="435"/>
      <c r="V70" s="2041" t="s">
        <v>547</v>
      </c>
      <c r="W70" s="2041"/>
      <c r="X70" s="2041"/>
      <c r="Y70" s="2041"/>
      <c r="Z70" s="2041"/>
      <c r="AA70" s="2041"/>
      <c r="AB70" s="2041"/>
      <c r="AC70" s="2041"/>
      <c r="AD70" s="2041"/>
      <c r="AE70" s="2041"/>
      <c r="AF70" s="2041"/>
      <c r="AG70" s="2041"/>
      <c r="AH70" s="2041"/>
      <c r="AI70" s="2041"/>
      <c r="AJ70" s="2041"/>
      <c r="AK70" s="2041"/>
      <c r="AL70" s="2041"/>
      <c r="AM70" s="2041"/>
      <c r="AN70" s="2041"/>
      <c r="AO70" s="2041"/>
      <c r="AP70" s="2041"/>
      <c r="AQ70" s="2041"/>
    </row>
    <row r="71" spans="1:48" ht="18" hidden="1" customHeight="1">
      <c r="P71" s="435"/>
      <c r="V71" s="2041" t="s">
        <v>546</v>
      </c>
      <c r="W71" s="2041"/>
      <c r="X71" s="2041"/>
      <c r="Y71" s="2041"/>
      <c r="Z71" s="2041"/>
      <c r="AA71" s="2041"/>
      <c r="AB71" s="2041"/>
      <c r="AC71" s="2041"/>
      <c r="AD71" s="2041"/>
      <c r="AE71" s="2041"/>
      <c r="AF71" s="2041"/>
      <c r="AG71" s="2041"/>
      <c r="AH71" s="2041"/>
      <c r="AI71" s="2041"/>
      <c r="AJ71" s="2041"/>
      <c r="AK71" s="2041"/>
      <c r="AL71" s="2041"/>
      <c r="AM71" s="2041"/>
      <c r="AN71" s="2041"/>
      <c r="AO71" s="2041"/>
      <c r="AP71" s="2041"/>
      <c r="AQ71" s="2041"/>
    </row>
    <row r="72" spans="1:48" ht="14.25" hidden="1" customHeight="1"/>
    <row r="73" spans="1:48" ht="14.25" hidden="1" customHeight="1"/>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37" zoomScale="90" workbookViewId="0">
      <selection activeCell="I66" sqref="I66"/>
    </sheetView>
  </sheetViews>
  <sheetFormatPr defaultColWidth="9.09765625" defaultRowHeight="11.25" customHeight="1"/>
  <cols>
    <col min="1" max="1" width="10.69921875" style="705" hidden="1" customWidth="1"/>
    <col min="2" max="2" width="10.69921875" style="652" hidden="1" customWidth="1"/>
    <col min="3" max="3" width="3.69921875" style="456" customWidth="1"/>
    <col min="4" max="4" width="1.69921875" style="1560" customWidth="1"/>
    <col min="5" max="5" width="55.296875" style="1560" customWidth="1"/>
    <col min="6" max="6" width="50.69921875" style="1560" customWidth="1"/>
    <col min="7" max="7" width="1.69921875" style="1791" customWidth="1"/>
    <col min="8" max="8" width="18" style="1560" hidden="1" customWidth="1"/>
    <col min="9" max="9" width="9.59765625" style="457" customWidth="1"/>
    <col min="10" max="10" width="52.09765625" style="1292" hidden="1" customWidth="1"/>
    <col min="11" max="11" width="9.09765625" style="1560"/>
    <col min="12" max="12" width="78" style="1560" customWidth="1"/>
    <col min="13" max="16" width="9.09765625" style="1560"/>
  </cols>
  <sheetData>
    <row r="1" spans="1:11" s="543" customFormat="1" ht="3" customHeight="1">
      <c r="A1" s="701"/>
      <c r="B1" s="156"/>
      <c r="F1" s="157">
        <v>26354809</v>
      </c>
      <c r="G1" s="341"/>
      <c r="H1" s="4"/>
      <c r="I1" s="341"/>
      <c r="J1" s="788"/>
    </row>
    <row r="2" spans="1:11" s="1557" customFormat="1" ht="14.25" customHeight="1">
      <c r="A2" s="701"/>
      <c r="B2" s="27"/>
      <c r="E2" s="1664" t="str">
        <f>code</f>
        <v>Код отчёта: PP108.OPEN.INFO.ORG.COLDVSNA.EIAS</v>
      </c>
      <c r="F2" s="184"/>
      <c r="G2" s="160"/>
      <c r="H2" s="160"/>
      <c r="I2" s="160"/>
      <c r="J2" s="789"/>
      <c r="K2" s="160"/>
    </row>
    <row r="3" spans="1:11" ht="14.25" customHeight="1">
      <c r="E3" s="161" t="str">
        <f>version</f>
        <v>Версия отчёта: 1.0.2</v>
      </c>
      <c r="F3" s="184"/>
      <c r="G3" s="1796"/>
      <c r="H3"/>
      <c r="I3"/>
      <c r="J3" s="790"/>
      <c r="K3"/>
    </row>
    <row r="4" spans="1:11" s="1538" customFormat="1" ht="6" customHeight="1">
      <c r="A4" s="702"/>
      <c r="B4" s="148"/>
      <c r="C4" s="149"/>
      <c r="D4" s="150"/>
      <c r="E4" s="158"/>
      <c r="F4" s="159"/>
      <c r="G4" s="689"/>
      <c r="H4" s="339"/>
      <c r="I4" s="341"/>
      <c r="J4" s="791"/>
    </row>
    <row r="5" spans="1:11" ht="37.5" customHeight="1">
      <c r="D5" s="6"/>
      <c r="E5" s="1821" t="str">
        <f>NameTemplatesInTitle</f>
        <v>Общая информация о регулируемой организации (холодного водоснабжения)</v>
      </c>
      <c r="F5" s="1822"/>
      <c r="G5" s="690"/>
      <c r="J5" s="792"/>
    </row>
    <row r="6" spans="1:11" s="1538" customFormat="1" ht="6" customHeight="1">
      <c r="A6" s="702"/>
      <c r="B6" s="148"/>
      <c r="C6" s="149"/>
      <c r="D6" s="150"/>
      <c r="E6" s="152"/>
      <c r="F6" s="153"/>
      <c r="G6" s="690"/>
      <c r="H6" s="339"/>
      <c r="I6" s="341"/>
      <c r="J6" s="791"/>
    </row>
    <row r="7" spans="1:11" ht="19.5" customHeight="1">
      <c r="D7" s="6"/>
      <c r="E7" s="320" t="s">
        <v>13</v>
      </c>
      <c r="F7" s="132" t="s">
        <v>14</v>
      </c>
      <c r="G7" s="690"/>
    </row>
    <row r="8" spans="1:11" s="1538" customFormat="1" ht="6" customHeight="1">
      <c r="A8" s="703"/>
      <c r="B8" s="148"/>
      <c r="C8" s="149"/>
      <c r="D8" s="154"/>
      <c r="E8" s="152"/>
      <c r="F8" s="155"/>
      <c r="G8" s="8"/>
      <c r="H8" s="339"/>
      <c r="I8" s="341"/>
      <c r="J8" s="794"/>
    </row>
    <row r="9" spans="1:11" s="1560" customFormat="1" ht="19.5" hidden="1" customHeight="1">
      <c r="A9" s="702"/>
      <c r="B9" s="27"/>
      <c r="C9" s="338"/>
      <c r="D9" s="340"/>
      <c r="E9" s="1075" t="s">
        <v>15</v>
      </c>
      <c r="F9" s="1061"/>
      <c r="G9" s="690"/>
      <c r="I9" s="341"/>
      <c r="J9" s="793"/>
    </row>
    <row r="10" spans="1:11" s="1538" customFormat="1" ht="6" customHeight="1">
      <c r="A10" s="703"/>
      <c r="B10" s="354"/>
      <c r="C10" s="355"/>
      <c r="D10" s="154"/>
      <c r="E10" s="152"/>
      <c r="F10" s="155"/>
      <c r="G10" s="8"/>
      <c r="H10" s="339"/>
      <c r="I10" s="341"/>
      <c r="J10" s="794"/>
    </row>
    <row r="11" spans="1:11" ht="22.5" hidden="1" customHeight="1">
      <c r="A11" s="1824" t="s">
        <v>16</v>
      </c>
      <c r="D11" s="6"/>
      <c r="E11" s="1075" t="s">
        <v>17</v>
      </c>
      <c r="F11" s="1656" t="s">
        <v>18</v>
      </c>
      <c r="G11" s="8"/>
      <c r="H11" s="691" t="s">
        <v>19</v>
      </c>
      <c r="J11" s="793" t="s">
        <v>20</v>
      </c>
    </row>
    <row r="12" spans="1:11" ht="22.5" hidden="1" customHeight="1">
      <c r="A12" s="1824"/>
      <c r="D12" s="6"/>
      <c r="E12" s="1075" t="s">
        <v>21</v>
      </c>
      <c r="F12" s="1656"/>
      <c r="G12" s="5"/>
      <c r="J12" s="793" t="s">
        <v>22</v>
      </c>
    </row>
    <row r="13" spans="1:11" s="1560" customFormat="1" ht="22.5" customHeight="1">
      <c r="A13" s="706" t="s">
        <v>23</v>
      </c>
      <c r="B13" s="27"/>
      <c r="C13" s="338"/>
      <c r="D13" s="340"/>
      <c r="E13" s="1703" t="s">
        <v>24</v>
      </c>
      <c r="F13" s="1656">
        <v>45393</v>
      </c>
      <c r="G13" s="8"/>
      <c r="H13"/>
      <c r="I13" s="341"/>
      <c r="J13" s="1704" t="s">
        <v>25</v>
      </c>
    </row>
    <row r="14" spans="1:11" s="1560" customFormat="1" ht="27" hidden="1" customHeight="1">
      <c r="A14" s="706" t="s">
        <v>26</v>
      </c>
      <c r="B14" s="27"/>
      <c r="C14" s="338"/>
      <c r="D14" s="340"/>
      <c r="E14" s="1075" t="s">
        <v>27</v>
      </c>
      <c r="F14" s="1692"/>
      <c r="G14" s="8"/>
      <c r="H14"/>
      <c r="I14" s="341"/>
      <c r="J14" s="793" t="s">
        <v>28</v>
      </c>
    </row>
    <row r="15" spans="1:11" s="1560" customFormat="1" ht="19.5" hidden="1" customHeight="1">
      <c r="A15" s="706" t="s">
        <v>29</v>
      </c>
      <c r="B15" s="27"/>
      <c r="C15" s="338"/>
      <c r="D15" s="340"/>
      <c r="E15" s="1075" t="s">
        <v>30</v>
      </c>
      <c r="F15" s="1692"/>
      <c r="G15" s="8"/>
      <c r="H15"/>
      <c r="I15" s="341"/>
      <c r="J15" s="793" t="s">
        <v>31</v>
      </c>
    </row>
    <row r="16" spans="1:11" s="1538" customFormat="1" ht="6" customHeight="1">
      <c r="A16" s="703"/>
      <c r="B16" s="148"/>
      <c r="C16" s="149"/>
      <c r="D16" s="154"/>
      <c r="E16" s="152"/>
      <c r="F16" s="155"/>
      <c r="G16" s="8"/>
      <c r="H16" s="339"/>
      <c r="I16" s="341"/>
      <c r="J16" s="791"/>
    </row>
    <row r="17" spans="1:10" ht="19.5" customHeight="1">
      <c r="D17" s="6"/>
      <c r="E17" s="320" t="s">
        <v>32</v>
      </c>
      <c r="F17" s="133" t="s">
        <v>33</v>
      </c>
      <c r="G17" s="5"/>
      <c r="H17" s="691" t="s">
        <v>19</v>
      </c>
    </row>
    <row r="18" spans="1:10" ht="22.5" hidden="1" customHeight="1">
      <c r="D18" s="6"/>
      <c r="E18" s="1703" t="s">
        <v>34</v>
      </c>
      <c r="F18" s="1657" t="s">
        <v>35</v>
      </c>
      <c r="G18" s="5"/>
      <c r="I18" s="692"/>
      <c r="J18" s="1823" t="s">
        <v>36</v>
      </c>
    </row>
    <row r="19" spans="1:10" ht="22.5" hidden="1" customHeight="1">
      <c r="D19" s="6"/>
      <c r="E19" s="1703" t="s">
        <v>37</v>
      </c>
      <c r="F19" s="1657"/>
      <c r="G19" s="5"/>
      <c r="I19" s="692"/>
      <c r="J19" s="1823"/>
    </row>
    <row r="20" spans="1:10" ht="22.5" hidden="1" customHeight="1">
      <c r="D20" s="6"/>
      <c r="E20" s="7"/>
      <c r="F20" s="185" t="str">
        <f>"Первичное "&amp;IF(TEMPLATE_GROUP="P","установление тарифов","предложение по тарифам")</f>
        <v>Первичное предложение по тарифам</v>
      </c>
      <c r="G20" s="5"/>
      <c r="I20" s="323"/>
      <c r="J20" s="792" t="s">
        <v>38</v>
      </c>
    </row>
    <row r="21" spans="1:10" ht="19.5" hidden="1" customHeight="1">
      <c r="D21" s="6"/>
      <c r="E21" s="320" t="str">
        <f>"Дата "&amp;IF(TEMPLATE_GROUP="P","документа","подачи заявления")&amp;" об "&amp;IF(TITLE_DATE_PR_CHANGE="","утверждении","изменении")&amp;" тарифов"</f>
        <v>Дата подачи заявления об утверждении тарифов</v>
      </c>
      <c r="F21" s="1656" t="s">
        <v>18</v>
      </c>
      <c r="G21" s="5"/>
      <c r="I21" s="693"/>
    </row>
    <row r="22" spans="1:10" ht="19.5" hidden="1" customHeight="1">
      <c r="D22" s="6"/>
      <c r="E22" s="320" t="str">
        <f>"Номер "&amp;IF(TEMPLATE_GROUP="P","документа","подачи заявления")&amp;" об "&amp;IF(TITLE_NUMBER_PR_CHANGE="","утверждении","изменении")&amp;" тарифов"</f>
        <v>Номер подачи заявления об утверждении тарифов</v>
      </c>
      <c r="F22" s="133"/>
      <c r="G22" s="5"/>
      <c r="I22" s="693"/>
    </row>
    <row r="23" spans="1:10" ht="22.5" hidden="1" customHeight="1">
      <c r="D23" s="6"/>
      <c r="E23" s="320" t="s">
        <v>39</v>
      </c>
      <c r="F23" s="133"/>
      <c r="G23" s="5"/>
    </row>
    <row r="24" spans="1:10" ht="19.5" hidden="1" customHeight="1">
      <c r="D24" s="6"/>
      <c r="E24" s="320" t="s">
        <v>40</v>
      </c>
      <c r="F24" s="133"/>
      <c r="G24" s="5"/>
    </row>
    <row r="25" spans="1:10" ht="22.5" hidden="1" customHeight="1">
      <c r="D25" s="6"/>
      <c r="E25" s="7"/>
      <c r="F25" s="185" t="str">
        <f>"Изменение "&amp;IF(TEMPLATE_GROUP="P","тарифов","предложения по тарифам")</f>
        <v>Изменение предложения по тарифам</v>
      </c>
      <c r="G25" s="5"/>
      <c r="J25" s="792" t="s">
        <v>41</v>
      </c>
    </row>
    <row r="26" spans="1:10" ht="22.5" hidden="1" customHeight="1">
      <c r="D26" s="6"/>
      <c r="E26" s="320" t="s">
        <v>42</v>
      </c>
      <c r="F26" s="135"/>
      <c r="G26" s="5"/>
    </row>
    <row r="27" spans="1:10" ht="19.5" hidden="1" customHeight="1">
      <c r="D27" s="6"/>
      <c r="E27" s="320" t="s">
        <v>43</v>
      </c>
      <c r="F27" s="1657"/>
      <c r="G27" s="5"/>
    </row>
    <row r="28" spans="1:10" ht="19.5" hidden="1" customHeight="1">
      <c r="D28" s="6"/>
      <c r="E28" s="320" t="s">
        <v>44</v>
      </c>
      <c r="F28" s="135"/>
      <c r="G28" s="5"/>
    </row>
    <row r="29" spans="1:10" ht="19.5" hidden="1" customHeight="1">
      <c r="D29" s="6"/>
      <c r="E29" s="320" t="s">
        <v>40</v>
      </c>
      <c r="F29" s="135"/>
      <c r="G29" s="5"/>
    </row>
    <row r="30" spans="1:10" s="1538" customFormat="1" ht="6" customHeight="1">
      <c r="A30" s="703"/>
      <c r="B30" s="148"/>
      <c r="C30" s="149"/>
      <c r="D30" s="154"/>
      <c r="E30" s="152"/>
      <c r="F30" s="155"/>
      <c r="G30" s="8"/>
      <c r="H30" s="339"/>
      <c r="I30" s="341"/>
      <c r="J30" s="791"/>
    </row>
    <row r="31" spans="1:10" ht="19.5" customHeight="1">
      <c r="C31" s="9"/>
      <c r="D31" s="10"/>
      <c r="E31" s="320" t="s">
        <v>45</v>
      </c>
      <c r="F31" s="134" t="s">
        <v>46</v>
      </c>
      <c r="G31" s="694"/>
    </row>
    <row r="32" spans="1:10" ht="19.5" hidden="1" customHeight="1">
      <c r="C32" s="9"/>
      <c r="D32" s="10"/>
      <c r="E32" s="321" t="s">
        <v>47</v>
      </c>
      <c r="F32" s="1691"/>
      <c r="G32" s="694"/>
    </row>
    <row r="33" spans="1:10" ht="19.5" customHeight="1">
      <c r="C33" s="9"/>
      <c r="D33" s="10"/>
      <c r="E33" s="320" t="s">
        <v>48</v>
      </c>
      <c r="F33" s="134" t="s">
        <v>49</v>
      </c>
      <c r="G33" s="694"/>
    </row>
    <row r="34" spans="1:10" ht="19.5" customHeight="1">
      <c r="C34" s="9"/>
      <c r="D34" s="10"/>
      <c r="E34" s="320" t="s">
        <v>50</v>
      </c>
      <c r="F34" s="134" t="s">
        <v>51</v>
      </c>
      <c r="G34" s="694"/>
      <c r="H34" s="11"/>
    </row>
    <row r="35" spans="1:10" s="1538" customFormat="1" ht="11.25" customHeight="1">
      <c r="A35" s="703"/>
      <c r="B35" s="148"/>
      <c r="C35" s="149"/>
      <c r="D35" s="154"/>
      <c r="E35" s="152"/>
      <c r="F35" s="155"/>
      <c r="G35" s="8"/>
      <c r="H35" s="339"/>
      <c r="I35" s="341"/>
      <c r="J35" s="791"/>
    </row>
    <row r="36" spans="1:10" ht="19.5" hidden="1" customHeight="1">
      <c r="A36" s="796"/>
      <c r="D36" s="10"/>
      <c r="E36" s="320" t="s">
        <v>52</v>
      </c>
      <c r="F36" s="269"/>
      <c r="G36" s="8"/>
    </row>
    <row r="37" spans="1:10" ht="19.5" customHeight="1">
      <c r="A37" s="796"/>
      <c r="D37" s="10"/>
      <c r="E37" s="320" t="s">
        <v>53</v>
      </c>
      <c r="F37" s="1122" t="s">
        <v>54</v>
      </c>
      <c r="G37" s="8"/>
    </row>
    <row r="38" spans="1:10" s="1538" customFormat="1" ht="6" customHeight="1">
      <c r="A38" s="703"/>
      <c r="B38" s="148"/>
      <c r="C38" s="149"/>
      <c r="D38" s="150"/>
      <c r="E38" s="151"/>
      <c r="F38" s="969"/>
      <c r="G38" s="5"/>
      <c r="H38" s="339"/>
      <c r="I38" s="341"/>
      <c r="J38" s="793"/>
    </row>
    <row r="39" spans="1:10" ht="22.5" customHeight="1">
      <c r="A39" s="703"/>
      <c r="D39" s="6"/>
      <c r="E39" s="320" t="s">
        <v>55</v>
      </c>
      <c r="F39" s="629" t="s">
        <v>56</v>
      </c>
      <c r="G39" s="5"/>
      <c r="H39" s="691" t="s">
        <v>19</v>
      </c>
    </row>
    <row r="40" spans="1:10" s="1538" customFormat="1" ht="6" customHeight="1">
      <c r="A40" s="702"/>
      <c r="B40" s="354"/>
      <c r="C40" s="355"/>
      <c r="D40" s="356"/>
      <c r="E40" s="357"/>
      <c r="F40" s="969"/>
      <c r="G40" s="5"/>
      <c r="H40" s="339"/>
      <c r="I40" s="341"/>
      <c r="J40" s="793"/>
    </row>
    <row r="41" spans="1:10" s="1560" customFormat="1" ht="19.5" customHeight="1">
      <c r="A41" s="706" t="s">
        <v>23</v>
      </c>
      <c r="B41" s="343"/>
      <c r="C41" s="338"/>
      <c r="D41" s="340"/>
      <c r="E41" s="320"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29" t="s">
        <v>56</v>
      </c>
      <c r="G41" s="5"/>
      <c r="I41" s="341"/>
      <c r="J41" s="793"/>
    </row>
    <row r="42" spans="1:10" s="1538" customFormat="1" ht="6" hidden="1" customHeight="1">
      <c r="A42" s="702"/>
      <c r="B42" s="354"/>
      <c r="C42" s="355"/>
      <c r="D42" s="356"/>
      <c r="E42" s="357"/>
      <c r="F42" s="969"/>
      <c r="G42" s="5"/>
      <c r="H42" s="339"/>
      <c r="I42" s="341"/>
      <c r="J42" s="791"/>
    </row>
    <row r="43" spans="1:10" s="1560" customFormat="1" ht="22.5" hidden="1" customHeight="1">
      <c r="A43" s="702"/>
      <c r="B43" s="343"/>
      <c r="C43" s="338"/>
      <c r="D43" s="340"/>
      <c r="E43" s="320" t="s">
        <v>57</v>
      </c>
      <c r="F43" s="629" t="s">
        <v>58</v>
      </c>
      <c r="G43" s="5"/>
      <c r="I43" s="341"/>
      <c r="J43" s="793"/>
    </row>
    <row r="44" spans="1:10" s="1560" customFormat="1" ht="22.5" hidden="1" customHeight="1">
      <c r="A44" s="702"/>
      <c r="B44" s="343"/>
      <c r="C44" s="338"/>
      <c r="D44" s="340"/>
      <c r="E44" s="1075" t="s">
        <v>59</v>
      </c>
      <c r="F44" s="670"/>
      <c r="G44" s="5"/>
      <c r="I44" s="341"/>
      <c r="J44" s="793"/>
    </row>
    <row r="45" spans="1:10" s="1538" customFormat="1" ht="6" hidden="1" customHeight="1">
      <c r="A45" s="702"/>
      <c r="B45" s="354"/>
      <c r="C45" s="355"/>
      <c r="D45" s="356"/>
      <c r="E45" s="357"/>
      <c r="F45" s="969"/>
      <c r="G45" s="5"/>
      <c r="H45" s="339"/>
      <c r="I45" s="341"/>
      <c r="J45" s="793"/>
    </row>
    <row r="46" spans="1:10" s="1538" customFormat="1" ht="22.5" hidden="1" customHeight="1">
      <c r="A46" s="702"/>
      <c r="B46" s="354"/>
      <c r="C46" s="355"/>
      <c r="D46" s="356"/>
      <c r="E46" s="1075" t="s">
        <v>60</v>
      </c>
      <c r="F46" s="629" t="s">
        <v>56</v>
      </c>
      <c r="G46" s="5"/>
      <c r="H46" s="339"/>
      <c r="I46" s="341"/>
      <c r="J46" s="793"/>
    </row>
    <row r="47" spans="1:10" s="1560" customFormat="1" ht="22.5" hidden="1" customHeight="1">
      <c r="A47" s="702"/>
      <c r="B47" s="343"/>
      <c r="C47" s="338"/>
      <c r="D47" s="340"/>
      <c r="E47" s="1075" t="s">
        <v>61</v>
      </c>
      <c r="F47" s="629" t="s">
        <v>56</v>
      </c>
      <c r="G47" s="5"/>
      <c r="I47" s="341"/>
      <c r="J47" s="793"/>
    </row>
    <row r="48" spans="1:10" s="1538" customFormat="1" ht="6" hidden="1" customHeight="1">
      <c r="A48" s="702"/>
      <c r="B48" s="148"/>
      <c r="C48" s="149"/>
      <c r="D48" s="150"/>
      <c r="E48" s="151"/>
      <c r="F48" s="969"/>
      <c r="G48" s="5"/>
      <c r="H48" s="339"/>
      <c r="I48" s="341"/>
      <c r="J48" s="793"/>
    </row>
    <row r="49" spans="1:16" ht="19.5" hidden="1" customHeight="1">
      <c r="B49" s="68"/>
      <c r="D49" s="6"/>
      <c r="E49" s="32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29"/>
      <c r="G49" s="5"/>
    </row>
    <row r="50" spans="1:16" s="1538" customFormat="1" ht="6" hidden="1" customHeight="1">
      <c r="A50" s="703"/>
      <c r="B50" s="354"/>
      <c r="C50" s="355"/>
      <c r="D50" s="154"/>
      <c r="E50" s="152"/>
      <c r="F50" s="155"/>
      <c r="G50" s="8"/>
      <c r="H50" s="339"/>
      <c r="I50" s="341"/>
      <c r="J50" s="793"/>
    </row>
    <row r="51" spans="1:16" s="1560" customFormat="1" ht="22.5" hidden="1" customHeight="1">
      <c r="A51" s="704"/>
      <c r="B51" s="343"/>
      <c r="C51" s="456"/>
      <c r="D51" s="457"/>
      <c r="E51" s="320" t="s">
        <v>62</v>
      </c>
      <c r="F51" s="629" t="s">
        <v>56</v>
      </c>
      <c r="G51" s="458"/>
      <c r="I51" s="459"/>
      <c r="J51" s="795"/>
      <c r="P51" s="460"/>
    </row>
    <row r="52" spans="1:16" s="1538" customFormat="1" ht="6" hidden="1" customHeight="1">
      <c r="A52" s="703"/>
      <c r="B52" s="354"/>
      <c r="C52" s="355"/>
      <c r="D52" s="154"/>
      <c r="E52" s="152"/>
      <c r="F52" s="155"/>
      <c r="G52" s="8"/>
      <c r="H52" s="339"/>
      <c r="I52" s="341"/>
      <c r="J52" s="791"/>
    </row>
    <row r="53" spans="1:16" s="1560" customFormat="1" ht="22.5" hidden="1" customHeight="1">
      <c r="A53" s="704"/>
      <c r="B53" s="343"/>
      <c r="C53" s="456"/>
      <c r="D53" s="457"/>
      <c r="E53" s="320" t="s">
        <v>63</v>
      </c>
      <c r="F53" s="964" t="s">
        <v>56</v>
      </c>
      <c r="G53" s="458"/>
      <c r="I53" s="459"/>
      <c r="J53" s="795"/>
      <c r="P53" s="460"/>
    </row>
    <row r="54" spans="1:16" s="1560" customFormat="1" ht="22.5" hidden="1" customHeight="1">
      <c r="A54" s="704"/>
      <c r="B54" s="343"/>
      <c r="C54" s="456"/>
      <c r="D54" s="457"/>
      <c r="E54" s="320" t="s">
        <v>64</v>
      </c>
      <c r="F54" s="1702"/>
      <c r="G54" s="458"/>
      <c r="I54" s="459"/>
      <c r="J54" s="795"/>
      <c r="P54" s="460"/>
    </row>
    <row r="55" spans="1:16" s="1538" customFormat="1" ht="6" hidden="1" customHeight="1">
      <c r="A55" s="703"/>
      <c r="B55" s="354"/>
      <c r="C55" s="355"/>
      <c r="D55" s="154"/>
      <c r="E55" s="152"/>
      <c r="F55" s="155"/>
      <c r="G55" s="8"/>
      <c r="H55" s="339"/>
      <c r="I55" s="341"/>
      <c r="J55" s="791"/>
    </row>
    <row r="56" spans="1:16" s="1560" customFormat="1" ht="22.5" hidden="1" customHeight="1">
      <c r="A56" s="704"/>
      <c r="B56" s="343"/>
      <c r="C56" s="456"/>
      <c r="D56" s="457"/>
      <c r="E56" s="320" t="s">
        <v>65</v>
      </c>
      <c r="F56" s="964" t="s">
        <v>56</v>
      </c>
      <c r="G56" s="458"/>
      <c r="I56" s="459"/>
      <c r="J56" s="795"/>
      <c r="P56" s="460"/>
    </row>
    <row r="57" spans="1:16" s="1538" customFormat="1" ht="6" hidden="1" customHeight="1">
      <c r="A57" s="703"/>
      <c r="B57" s="354"/>
      <c r="C57" s="355"/>
      <c r="D57" s="154"/>
      <c r="E57" s="152"/>
      <c r="F57" s="155"/>
      <c r="G57" s="8"/>
      <c r="H57" s="339"/>
      <c r="I57" s="341"/>
      <c r="J57" s="791"/>
    </row>
    <row r="58" spans="1:16" s="1560" customFormat="1" ht="15" hidden="1" customHeight="1">
      <c r="A58" s="704"/>
      <c r="B58" s="343"/>
      <c r="C58" s="456"/>
      <c r="D58" s="457"/>
      <c r="E58" s="320" t="s">
        <v>66</v>
      </c>
      <c r="F58" s="964" t="s">
        <v>58</v>
      </c>
      <c r="G58" s="458"/>
      <c r="I58" s="459"/>
      <c r="J58" s="795"/>
      <c r="P58" s="460"/>
    </row>
    <row r="59" spans="1:16" s="1560" customFormat="1" ht="15" hidden="1" customHeight="1">
      <c r="A59" s="704"/>
      <c r="B59" s="343"/>
      <c r="C59" s="456"/>
      <c r="D59" s="457"/>
      <c r="E59" s="32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01"/>
      <c r="G59" s="458"/>
      <c r="I59" s="459"/>
      <c r="J59" s="795"/>
      <c r="P59" s="460"/>
    </row>
    <row r="60" spans="1:16" s="1560" customFormat="1" ht="15" hidden="1" customHeight="1">
      <c r="A60" s="704"/>
      <c r="B60" s="343"/>
      <c r="C60" s="456"/>
      <c r="D60" s="457"/>
      <c r="E60" s="1075" t="s">
        <v>67</v>
      </c>
      <c r="F60" s="1061"/>
      <c r="G60" s="458"/>
      <c r="I60" s="459"/>
      <c r="J60" s="795"/>
      <c r="P60" s="460"/>
    </row>
    <row r="61" spans="1:16" s="1538" customFormat="1" ht="6" hidden="1" customHeight="1">
      <c r="A61" s="703"/>
      <c r="B61" s="354"/>
      <c r="C61" s="355"/>
      <c r="D61" s="356"/>
      <c r="E61" s="357"/>
      <c r="F61" s="969"/>
      <c r="G61" s="5"/>
      <c r="H61" s="339"/>
      <c r="I61" s="341"/>
      <c r="J61" s="793"/>
    </row>
    <row r="62" spans="1:16" s="1560" customFormat="1" ht="33.75" hidden="1" customHeight="1">
      <c r="A62" s="703"/>
      <c r="B62" s="27"/>
      <c r="C62" s="338"/>
      <c r="D62" s="340"/>
      <c r="E62" s="1075" t="s">
        <v>68</v>
      </c>
      <c r="F62" s="1596" t="s">
        <v>58</v>
      </c>
      <c r="G62" s="5"/>
      <c r="H62" s="691" t="s">
        <v>19</v>
      </c>
      <c r="I62" s="341"/>
      <c r="J62" s="793"/>
    </row>
    <row r="63" spans="1:16" s="1538" customFormat="1" ht="6" customHeight="1">
      <c r="A63" s="703"/>
      <c r="B63" s="148"/>
      <c r="C63" s="149"/>
      <c r="D63" s="154"/>
      <c r="E63" s="152"/>
      <c r="F63" s="155"/>
      <c r="G63" s="8"/>
      <c r="H63" s="339"/>
      <c r="I63" s="341"/>
      <c r="J63" s="791"/>
    </row>
    <row r="64" spans="1:16" ht="19.5" customHeight="1">
      <c r="B64" s="28"/>
      <c r="D64" s="13"/>
      <c r="E64" s="320" t="s">
        <v>69</v>
      </c>
      <c r="F64" s="133" t="s">
        <v>70</v>
      </c>
      <c r="G64" s="8"/>
    </row>
    <row r="65" spans="2:9" ht="19.5" customHeight="1">
      <c r="B65" s="28"/>
      <c r="D65" s="13"/>
      <c r="E65" s="320" t="s">
        <v>71</v>
      </c>
      <c r="F65" s="133" t="s">
        <v>72</v>
      </c>
      <c r="G65" s="8"/>
    </row>
    <row r="66" spans="2:9" ht="35.25" customHeight="1">
      <c r="D66" s="6"/>
      <c r="E66" s="322" t="s">
        <v>73</v>
      </c>
      <c r="F66" s="970"/>
      <c r="G66" s="5"/>
    </row>
    <row r="67" spans="2:9" ht="19.5" customHeight="1">
      <c r="D67" s="340"/>
      <c r="E67" s="320" t="s">
        <v>74</v>
      </c>
      <c r="F67" s="186" t="s">
        <v>75</v>
      </c>
      <c r="G67" s="8"/>
    </row>
    <row r="68" spans="2:9" ht="19.5" customHeight="1">
      <c r="B68" s="28"/>
      <c r="D68" s="13"/>
      <c r="E68" s="320" t="s">
        <v>76</v>
      </c>
      <c r="F68" s="186" t="s">
        <v>77</v>
      </c>
      <c r="G68" s="8"/>
    </row>
    <row r="69" spans="2:9" ht="19.5" customHeight="1">
      <c r="B69" s="28"/>
      <c r="D69" s="13"/>
      <c r="E69" s="320" t="s">
        <v>78</v>
      </c>
      <c r="F69" s="186" t="s">
        <v>79</v>
      </c>
      <c r="G69" s="8"/>
    </row>
    <row r="70" spans="2:9" ht="19.5" customHeight="1">
      <c r="D70" s="340"/>
      <c r="E70" s="320" t="s">
        <v>80</v>
      </c>
      <c r="F70" s="1797" t="s">
        <v>81</v>
      </c>
      <c r="G70" s="5"/>
    </row>
    <row r="71" spans="2:9" ht="20.25" customHeight="1">
      <c r="D71" s="5"/>
      <c r="F71" s="55"/>
      <c r="G71" s="8"/>
    </row>
    <row r="72" spans="2:9" ht="19.5" customHeight="1">
      <c r="B72" s="28"/>
      <c r="D72" s="13"/>
      <c r="E72" s="12"/>
      <c r="F72" s="56"/>
      <c r="G72" s="8"/>
    </row>
    <row r="73" spans="2:9" ht="19.5" customHeight="1">
      <c r="B73" s="28"/>
      <c r="D73" s="13"/>
      <c r="E73" s="12"/>
      <c r="F73" s="56"/>
      <c r="G73" s="8"/>
    </row>
    <row r="74" spans="2:9" ht="19.5" customHeight="1">
      <c r="B74" s="28"/>
      <c r="D74" s="13"/>
      <c r="E74" s="17"/>
      <c r="F74" s="56"/>
      <c r="G74" s="8"/>
    </row>
    <row r="75" spans="2:9" ht="19.5" customHeight="1">
      <c r="B75" s="28"/>
      <c r="D75" s="13"/>
      <c r="E75" s="12"/>
      <c r="F75" s="56"/>
      <c r="G75" s="8"/>
    </row>
    <row r="78" spans="2:9" ht="11.25" customHeight="1">
      <c r="E78" s="319"/>
      <c r="F78" s="319"/>
      <c r="G78" s="319"/>
      <c r="H78" s="319"/>
      <c r="I78" s="319"/>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7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28:F29 F64:F65 F67:F70 F22:F24 F26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04" hidden="1" customWidth="1"/>
    <col min="17" max="17" width="3.69921875" style="1297" hidden="1" customWidth="1"/>
    <col min="18" max="18" width="3.69921875" style="265" customWidth="1"/>
    <col min="19" max="19" width="12.69921875" style="1795" customWidth="1"/>
    <col min="20" max="20" width="32"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5.3984375" style="1560" customWidth="1"/>
    <col min="29" max="30" width="3.69921875" style="1560" customWidth="1"/>
    <col min="31" max="31" width="24.69921875" style="1560" customWidth="1"/>
    <col min="32" max="34" width="3.69921875" style="1560" customWidth="1"/>
    <col min="35" max="35" width="24.69921875" style="1560" customWidth="1"/>
    <col min="36" max="38" width="3.69921875" style="1560" customWidth="1"/>
    <col min="39" max="39" width="18.796875" style="1560" customWidth="1"/>
    <col min="40" max="41" width="21.69921875" style="1560" customWidth="1"/>
    <col min="42" max="42" width="11.69921875" style="1560" customWidth="1"/>
    <col min="43" max="43" width="3.69921875" style="1560" customWidth="1"/>
    <col min="44" max="44" width="11.69921875" style="1560" customWidth="1"/>
    <col min="45" max="45" width="8.59765625" style="1560" customWidth="1"/>
    <col min="46" max="46" width="4.69921875" style="1560" customWidth="1"/>
    <col min="47" max="47" width="115.69921875" style="1560" customWidth="1"/>
    <col min="48" max="49" width="10.59765625" style="1567"/>
    <col min="50" max="50" width="11.09765625" style="1567" customWidth="1"/>
    <col min="51" max="52" width="10.59765625" style="1567"/>
  </cols>
  <sheetData>
    <row r="1" spans="1:52" ht="14.25" hidden="1" customHeight="1">
      <c r="W1" s="249"/>
      <c r="X1" s="249"/>
      <c r="AO1" s="249"/>
      <c r="AP1" s="249"/>
    </row>
    <row r="2" spans="1:52" ht="21" hidden="1" customHeight="1">
      <c r="A2" s="1289"/>
      <c r="B2" s="1289"/>
      <c r="C2" s="1289"/>
      <c r="D2" s="1289"/>
      <c r="E2" s="2042">
        <v>1</v>
      </c>
      <c r="F2" s="1289"/>
      <c r="G2" s="1289"/>
      <c r="H2" s="1289"/>
      <c r="I2" s="1289"/>
      <c r="J2" s="1289"/>
      <c r="K2" s="1289"/>
      <c r="L2" s="1290"/>
      <c r="M2" s="1291"/>
      <c r="N2" s="1291"/>
      <c r="O2" s="1291"/>
      <c r="P2" s="1335"/>
      <c r="Q2" s="790"/>
      <c r="R2" s="276"/>
      <c r="S2" s="1263" t="e">
        <f>INDEX(PT_DIFFERENTIATION_NUM_NTAR,MATCH(A2,PT_DIFFERENTIATION_NTAR_ID,0))</f>
        <v>#N/A</v>
      </c>
      <c r="T2" s="212" t="s">
        <v>119</v>
      </c>
      <c r="U2" s="214"/>
      <c r="V2" s="2037"/>
      <c r="W2" s="2037"/>
      <c r="X2" s="2037"/>
      <c r="Y2" s="2037"/>
      <c r="Z2" s="2037"/>
      <c r="AA2" s="2038"/>
      <c r="AB2" s="2036" t="e">
        <f>INDEX(PT_DIFFERENTIATION_NTAR,MATCH(A2,PT_DIFFERENTIATION_NTAR_ID,0))</f>
        <v>#N/A</v>
      </c>
      <c r="AC2" s="2037"/>
      <c r="AD2" s="2037"/>
      <c r="AE2" s="2037"/>
      <c r="AF2" s="2037"/>
      <c r="AG2" s="2037"/>
      <c r="AH2" s="2037"/>
      <c r="AI2" s="2037"/>
      <c r="AJ2" s="2037"/>
      <c r="AK2" s="2037"/>
      <c r="AL2" s="2037"/>
      <c r="AM2" s="2037"/>
      <c r="AN2" s="2037"/>
      <c r="AO2" s="2037"/>
      <c r="AP2" s="2037"/>
      <c r="AQ2" s="2037"/>
      <c r="AR2" s="2037"/>
      <c r="AS2" s="2037"/>
      <c r="AT2" s="2038"/>
      <c r="AU2" s="1187" t="s">
        <v>471</v>
      </c>
      <c r="AW2" s="426"/>
      <c r="AX2" s="426" t="str">
        <f t="shared" ref="AX2:AX8" si="0">IF(T2="","",T2)</f>
        <v>Наименование тарифа</v>
      </c>
      <c r="AY2" s="426"/>
      <c r="AZ2" s="426"/>
    </row>
    <row r="3" spans="1:52" ht="21" hidden="1" customHeight="1">
      <c r="A3" s="1289"/>
      <c r="B3" s="1289"/>
      <c r="C3" s="1289"/>
      <c r="D3" s="1289"/>
      <c r="E3" s="2043"/>
      <c r="F3" s="2042">
        <v>1</v>
      </c>
      <c r="G3" s="1289"/>
      <c r="H3" s="1289"/>
      <c r="I3" s="1289"/>
      <c r="J3" s="1289"/>
      <c r="K3" s="1289"/>
      <c r="L3" s="1290"/>
      <c r="M3" s="1291"/>
      <c r="N3" s="1291"/>
      <c r="O3" s="1291"/>
      <c r="P3" s="1336"/>
      <c r="Q3" s="1337"/>
      <c r="R3" s="274"/>
      <c r="S3" s="1263" t="e">
        <f>INDEX(PT_DIFFERENTIATION_NUM_TER,MATCH(B3,PT_DIFFERENTIATION_TER_ID,0))</f>
        <v>#N/A</v>
      </c>
      <c r="T3" s="224" t="s">
        <v>472</v>
      </c>
      <c r="U3" s="214"/>
      <c r="V3" s="2037"/>
      <c r="W3" s="2037"/>
      <c r="X3" s="2037"/>
      <c r="Y3" s="2037"/>
      <c r="Z3" s="2037"/>
      <c r="AA3" s="2038"/>
      <c r="AB3" s="2036" t="e">
        <f>INDEX(PT_DIFFERENTIATION_TER,MATCH(B3,PT_DIFFERENTIATION_TER_ID,0))</f>
        <v>#N/A</v>
      </c>
      <c r="AC3" s="2037"/>
      <c r="AD3" s="2037"/>
      <c r="AE3" s="2037"/>
      <c r="AF3" s="2037"/>
      <c r="AG3" s="2037"/>
      <c r="AH3" s="2037"/>
      <c r="AI3" s="2037"/>
      <c r="AJ3" s="2037"/>
      <c r="AK3" s="2037"/>
      <c r="AL3" s="2037"/>
      <c r="AM3" s="2037"/>
      <c r="AN3" s="2037"/>
      <c r="AO3" s="2037"/>
      <c r="AP3" s="2037"/>
      <c r="AQ3" s="2037"/>
      <c r="AR3" s="2037"/>
      <c r="AS3" s="2037"/>
      <c r="AT3" s="2038"/>
      <c r="AU3" s="1187" t="s">
        <v>473</v>
      </c>
      <c r="AW3" s="426"/>
      <c r="AX3" s="426" t="str">
        <f t="shared" si="0"/>
        <v>Территория действия тарифа</v>
      </c>
      <c r="AY3" s="426"/>
      <c r="AZ3" s="426"/>
    </row>
    <row r="4" spans="1:52" ht="22.5" hidden="1" customHeight="1">
      <c r="A4" s="1289"/>
      <c r="B4" s="1289"/>
      <c r="C4" s="1289"/>
      <c r="D4" s="1289"/>
      <c r="E4" s="2043"/>
      <c r="F4" s="2043"/>
      <c r="G4" s="2042">
        <v>1</v>
      </c>
      <c r="H4" s="1289"/>
      <c r="I4" s="1289"/>
      <c r="J4" s="1289"/>
      <c r="K4" s="1289"/>
      <c r="L4" s="1290"/>
      <c r="M4" s="1291"/>
      <c r="N4" s="1291"/>
      <c r="O4" s="1291"/>
      <c r="P4" s="1338"/>
      <c r="Q4" s="1337"/>
      <c r="R4" s="274"/>
      <c r="S4" s="1263" t="e">
        <f>INDEX(PT_DIFFERENTIATION_NUM_CS,MATCH(C4,PT_DIFFERENTIATION_CS_ID,0))</f>
        <v>#N/A</v>
      </c>
      <c r="T4" s="225" t="s">
        <v>474</v>
      </c>
      <c r="U4" s="214"/>
      <c r="V4" s="2037"/>
      <c r="W4" s="2037"/>
      <c r="X4" s="2037"/>
      <c r="Y4" s="2037"/>
      <c r="Z4" s="2037"/>
      <c r="AA4" s="2038"/>
      <c r="AB4" s="2036" t="e">
        <f>INDEX(PT_DIFFERENTIATION_CS,MATCH(C4,PT_DIFFERENTIATION_CS_ID,0))</f>
        <v>#N/A</v>
      </c>
      <c r="AC4" s="2037"/>
      <c r="AD4" s="2037"/>
      <c r="AE4" s="2037"/>
      <c r="AF4" s="2037"/>
      <c r="AG4" s="2037"/>
      <c r="AH4" s="2037"/>
      <c r="AI4" s="2037"/>
      <c r="AJ4" s="2037"/>
      <c r="AK4" s="2037"/>
      <c r="AL4" s="2037"/>
      <c r="AM4" s="2037"/>
      <c r="AN4" s="2037"/>
      <c r="AO4" s="2037"/>
      <c r="AP4" s="2037"/>
      <c r="AQ4" s="2037"/>
      <c r="AR4" s="2037"/>
      <c r="AS4" s="2037"/>
      <c r="AT4" s="2038"/>
      <c r="AU4" s="1187" t="s">
        <v>475</v>
      </c>
      <c r="AW4" s="426"/>
      <c r="AX4" s="426" t="str">
        <f t="shared" si="0"/>
        <v xml:space="preserve">Наименование системы теплоснабжения </v>
      </c>
      <c r="AY4" s="426"/>
      <c r="AZ4" s="426"/>
    </row>
    <row r="5" spans="1:52" ht="21" hidden="1" customHeight="1">
      <c r="A5" s="1289"/>
      <c r="B5" s="1289"/>
      <c r="C5" s="1289"/>
      <c r="D5" s="1289"/>
      <c r="E5" s="2043"/>
      <c r="F5" s="2043"/>
      <c r="G5" s="2043"/>
      <c r="H5" s="2042">
        <v>1</v>
      </c>
      <c r="I5" s="1289"/>
      <c r="J5" s="1289"/>
      <c r="K5" s="1289"/>
      <c r="L5" s="1290"/>
      <c r="M5" s="1291"/>
      <c r="N5" s="1291"/>
      <c r="O5" s="1291"/>
      <c r="P5" s="1338"/>
      <c r="Q5" s="1337"/>
      <c r="R5" s="274"/>
      <c r="S5" s="1263" t="e">
        <f>INDEX(PT_DIFFERENTIATION_NUM_IST_TE,MATCH(D5,PT_DIFFERENTIATION_IST_TE_ID,0))</f>
        <v>#N/A</v>
      </c>
      <c r="T5" s="226" t="s">
        <v>476</v>
      </c>
      <c r="U5" s="214"/>
      <c r="V5" s="2037"/>
      <c r="W5" s="2037"/>
      <c r="X5" s="2037"/>
      <c r="Y5" s="2037"/>
      <c r="Z5" s="2037"/>
      <c r="AA5" s="2038"/>
      <c r="AB5" s="2036" t="e">
        <f>INDEX(PT_DIFFERENTIATION_IST_TE,MATCH(D5,PT_DIFFERENTIATION_IST_TE_ID,0))</f>
        <v>#N/A</v>
      </c>
      <c r="AC5" s="2037"/>
      <c r="AD5" s="2037"/>
      <c r="AE5" s="2037"/>
      <c r="AF5" s="2037"/>
      <c r="AG5" s="2037"/>
      <c r="AH5" s="2037"/>
      <c r="AI5" s="2037"/>
      <c r="AJ5" s="2037"/>
      <c r="AK5" s="2037"/>
      <c r="AL5" s="2037"/>
      <c r="AM5" s="2037"/>
      <c r="AN5" s="2037"/>
      <c r="AO5" s="2037"/>
      <c r="AP5" s="2037"/>
      <c r="AQ5" s="2037"/>
      <c r="AR5" s="2037"/>
      <c r="AS5" s="2037"/>
      <c r="AT5" s="2038"/>
      <c r="AU5" s="1187" t="s">
        <v>477</v>
      </c>
      <c r="AW5" s="426"/>
      <c r="AX5" s="426" t="str">
        <f t="shared" si="0"/>
        <v xml:space="preserve">Источник тепловой энергии  </v>
      </c>
      <c r="AY5" s="426"/>
      <c r="AZ5" s="426"/>
    </row>
    <row r="6" spans="1:52" s="1567" customFormat="1" ht="14.25" hidden="1" customHeight="1">
      <c r="A6" s="1270"/>
      <c r="B6" s="1270"/>
      <c r="C6" s="1270"/>
      <c r="D6" s="1270"/>
      <c r="E6" s="2043"/>
      <c r="F6" s="2043"/>
      <c r="G6" s="2043"/>
      <c r="H6" s="2043"/>
      <c r="I6" s="2044" t="e">
        <f>S5&amp;".1"</f>
        <v>#N/A</v>
      </c>
      <c r="J6" s="1270"/>
      <c r="K6" s="1270"/>
      <c r="L6" s="1273" t="s">
        <v>478</v>
      </c>
      <c r="M6" s="436"/>
      <c r="N6" s="436"/>
      <c r="O6" s="436"/>
      <c r="P6" s="1961">
        <v>1</v>
      </c>
      <c r="Q6" s="1258"/>
      <c r="R6" s="277"/>
      <c r="S6" s="958"/>
      <c r="T6" s="1309"/>
      <c r="U6" s="1310"/>
      <c r="V6" s="2072"/>
      <c r="W6" s="2072"/>
      <c r="X6" s="2072"/>
      <c r="Y6" s="2072"/>
      <c r="Z6" s="2072"/>
      <c r="AA6" s="2073"/>
      <c r="AB6" s="2071"/>
      <c r="AC6" s="2072"/>
      <c r="AD6" s="2072"/>
      <c r="AE6" s="2072"/>
      <c r="AF6" s="2072"/>
      <c r="AG6" s="2072"/>
      <c r="AH6" s="2072"/>
      <c r="AI6" s="2072"/>
      <c r="AJ6" s="2072"/>
      <c r="AK6" s="2072"/>
      <c r="AL6" s="2072"/>
      <c r="AM6" s="2072"/>
      <c r="AN6" s="2072"/>
      <c r="AO6" s="2072"/>
      <c r="AP6" s="2072"/>
      <c r="AQ6" s="2072"/>
      <c r="AR6" s="2072"/>
      <c r="AS6" s="2072"/>
      <c r="AT6" s="2073"/>
      <c r="AU6" s="1311"/>
      <c r="AW6" s="426"/>
      <c r="AX6" s="426" t="str">
        <f t="shared" si="0"/>
        <v/>
      </c>
      <c r="AY6" s="426"/>
      <c r="AZ6" s="426"/>
    </row>
    <row r="7" spans="1:52" s="1567" customFormat="1" ht="14.25" hidden="1" customHeight="1">
      <c r="A7" s="1270"/>
      <c r="B7" s="1270"/>
      <c r="C7" s="1270"/>
      <c r="D7" s="1270"/>
      <c r="E7" s="2043"/>
      <c r="F7" s="2043"/>
      <c r="G7" s="2043"/>
      <c r="H7" s="2043"/>
      <c r="I7" s="2045"/>
      <c r="J7" s="2044" t="e">
        <f>S5&amp;".1"</f>
        <v>#N/A</v>
      </c>
      <c r="K7" s="1270"/>
      <c r="L7" s="1273"/>
      <c r="M7" s="436"/>
      <c r="N7" s="436"/>
      <c r="O7" s="436"/>
      <c r="P7" s="1961"/>
      <c r="Q7" s="1961">
        <v>1</v>
      </c>
      <c r="R7" s="278"/>
      <c r="S7" s="958"/>
      <c r="T7" s="1325"/>
      <c r="U7" s="1310"/>
      <c r="V7" s="2072"/>
      <c r="W7" s="2072"/>
      <c r="X7" s="2072"/>
      <c r="Y7" s="2072"/>
      <c r="Z7" s="2072"/>
      <c r="AA7" s="2073"/>
      <c r="AB7" s="2071"/>
      <c r="AC7" s="2072"/>
      <c r="AD7" s="2072"/>
      <c r="AE7" s="2072"/>
      <c r="AF7" s="2072"/>
      <c r="AG7" s="2072"/>
      <c r="AH7" s="2072"/>
      <c r="AI7" s="2072"/>
      <c r="AJ7" s="2072"/>
      <c r="AK7" s="2072"/>
      <c r="AL7" s="2072"/>
      <c r="AM7" s="2072"/>
      <c r="AN7" s="2072"/>
      <c r="AO7" s="2072"/>
      <c r="AP7" s="2072"/>
      <c r="AQ7" s="2072"/>
      <c r="AR7" s="2072"/>
      <c r="AS7" s="2072"/>
      <c r="AT7" s="2073"/>
      <c r="AU7" s="1311"/>
      <c r="AW7" s="426"/>
      <c r="AX7" s="426" t="str">
        <f t="shared" si="0"/>
        <v/>
      </c>
      <c r="AY7" s="426"/>
      <c r="AZ7" s="426"/>
    </row>
    <row r="8" spans="1:52" ht="21" hidden="1" customHeight="1">
      <c r="A8" s="1289"/>
      <c r="B8" s="1289"/>
      <c r="C8" s="1289"/>
      <c r="D8" s="1289"/>
      <c r="E8" s="2043"/>
      <c r="F8" s="2043"/>
      <c r="G8" s="2043"/>
      <c r="H8" s="2043"/>
      <c r="I8" s="2045"/>
      <c r="J8" s="2045"/>
      <c r="K8" s="2044" t="e">
        <f>S5&amp;".1"</f>
        <v>#N/A</v>
      </c>
      <c r="L8" s="1290"/>
      <c r="P8" s="1961"/>
      <c r="Q8" s="1961"/>
      <c r="R8" s="2095">
        <v>1</v>
      </c>
      <c r="S8" s="2092" t="e">
        <f>$K8</f>
        <v>#N/A</v>
      </c>
      <c r="T8" s="2089"/>
      <c r="U8" s="214"/>
      <c r="V8" s="669"/>
      <c r="W8" s="1186"/>
      <c r="X8" s="2046"/>
      <c r="Y8" s="1850" t="s">
        <v>58</v>
      </c>
      <c r="Z8" s="2046"/>
      <c r="AA8" s="1850" t="s">
        <v>58</v>
      </c>
      <c r="AB8" s="1850" t="s">
        <v>56</v>
      </c>
      <c r="AC8" s="2088"/>
      <c r="AD8" s="1920">
        <v>1</v>
      </c>
      <c r="AE8" s="2101"/>
      <c r="AF8" s="1850" t="s">
        <v>56</v>
      </c>
      <c r="AG8" s="2088"/>
      <c r="AH8" s="1920">
        <v>1</v>
      </c>
      <c r="AI8" s="2101"/>
      <c r="AJ8" s="1850" t="s">
        <v>56</v>
      </c>
      <c r="AK8" s="227"/>
      <c r="AL8" s="1264">
        <v>1</v>
      </c>
      <c r="AM8" s="1324"/>
      <c r="AN8" s="669"/>
      <c r="AO8" s="1186"/>
      <c r="AP8" s="1658"/>
      <c r="AQ8" s="1382" t="s">
        <v>58</v>
      </c>
      <c r="AR8" s="1658"/>
      <c r="AS8" s="1382" t="s">
        <v>58</v>
      </c>
      <c r="AT8" s="1275"/>
      <c r="AU8" s="2064" t="s">
        <v>548</v>
      </c>
      <c r="AV8" s="437" t="e">
        <f ca="1">STRCHECKDATE(V11:AT11)</f>
        <v>#NAME?</v>
      </c>
      <c r="AW8" s="426"/>
      <c r="AX8" s="426" t="str">
        <f t="shared" si="0"/>
        <v/>
      </c>
      <c r="AY8" s="426"/>
      <c r="AZ8" s="426"/>
    </row>
    <row r="9" spans="1:52" ht="11.25" hidden="1" customHeight="1">
      <c r="A9" s="1289"/>
      <c r="B9" s="1289"/>
      <c r="C9" s="1289"/>
      <c r="D9" s="1289"/>
      <c r="E9" s="2043"/>
      <c r="F9" s="2043"/>
      <c r="G9" s="2043"/>
      <c r="H9" s="2043"/>
      <c r="I9" s="2045"/>
      <c r="J9" s="2045"/>
      <c r="K9" s="2044"/>
      <c r="L9" s="1290"/>
      <c r="P9" s="1961"/>
      <c r="Q9" s="1961"/>
      <c r="R9" s="2095"/>
      <c r="S9" s="2093"/>
      <c r="T9" s="2090"/>
      <c r="U9" s="214"/>
      <c r="V9" s="1319"/>
      <c r="W9" s="1323"/>
      <c r="X9" s="2046"/>
      <c r="Y9" s="1850"/>
      <c r="Z9" s="2046"/>
      <c r="AA9" s="1850"/>
      <c r="AB9" s="1850"/>
      <c r="AC9" s="2088"/>
      <c r="AD9" s="1920"/>
      <c r="AE9" s="2101"/>
      <c r="AF9" s="1850"/>
      <c r="AG9" s="2088"/>
      <c r="AH9" s="1920"/>
      <c r="AI9" s="2101"/>
      <c r="AJ9" s="1850"/>
      <c r="AK9" s="234"/>
      <c r="AL9" s="346"/>
      <c r="AM9" s="345" t="s">
        <v>549</v>
      </c>
      <c r="AN9" s="1319"/>
      <c r="AO9" s="1416"/>
      <c r="AP9" s="1319"/>
      <c r="AQ9" s="1319"/>
      <c r="AR9" s="1319"/>
      <c r="AS9" s="1319"/>
      <c r="AT9" s="1316"/>
      <c r="AU9" s="2065"/>
      <c r="AW9" s="426"/>
      <c r="AX9" s="426"/>
      <c r="AY9" s="426"/>
      <c r="AZ9" s="426"/>
    </row>
    <row r="10" spans="1:52" ht="11.25" hidden="1" customHeight="1">
      <c r="A10" s="1289"/>
      <c r="B10" s="1289"/>
      <c r="C10" s="1289"/>
      <c r="D10" s="1289"/>
      <c r="E10" s="2043"/>
      <c r="F10" s="2043"/>
      <c r="G10" s="2043"/>
      <c r="H10" s="2043"/>
      <c r="I10" s="2045"/>
      <c r="J10" s="2045"/>
      <c r="K10" s="2044"/>
      <c r="L10" s="1290"/>
      <c r="P10" s="1961"/>
      <c r="Q10" s="1961"/>
      <c r="R10" s="2095"/>
      <c r="S10" s="2093"/>
      <c r="T10" s="2090"/>
      <c r="U10" s="214"/>
      <c r="V10" s="1319"/>
      <c r="W10" s="1323"/>
      <c r="X10" s="2046"/>
      <c r="Y10" s="1850"/>
      <c r="Z10" s="2046"/>
      <c r="AA10" s="1850"/>
      <c r="AB10" s="1850"/>
      <c r="AC10" s="2088"/>
      <c r="AD10" s="1920"/>
      <c r="AE10" s="2101"/>
      <c r="AF10" s="1850"/>
      <c r="AG10" s="208"/>
      <c r="AH10" s="345"/>
      <c r="AI10" s="345" t="s">
        <v>550</v>
      </c>
      <c r="AJ10" s="1319"/>
      <c r="AK10" s="1319"/>
      <c r="AL10" s="1319"/>
      <c r="AM10" s="1319"/>
      <c r="AN10" s="1319"/>
      <c r="AO10" s="1416"/>
      <c r="AP10" s="1319"/>
      <c r="AQ10" s="1319"/>
      <c r="AR10" s="1319"/>
      <c r="AS10" s="1319"/>
      <c r="AT10" s="1316"/>
      <c r="AU10" s="2065"/>
      <c r="AW10" s="426"/>
      <c r="AX10" s="426"/>
      <c r="AY10" s="426"/>
      <c r="AZ10" s="426"/>
    </row>
    <row r="11" spans="1:52" ht="11.25" hidden="1" customHeight="1">
      <c r="A11" s="1289"/>
      <c r="B11" s="1289"/>
      <c r="C11" s="1289"/>
      <c r="D11" s="1289"/>
      <c r="E11" s="2043"/>
      <c r="F11" s="2043"/>
      <c r="G11" s="2043"/>
      <c r="H11" s="2043"/>
      <c r="I11" s="2045"/>
      <c r="J11" s="2045"/>
      <c r="K11" s="2044"/>
      <c r="L11" s="1290"/>
      <c r="P11" s="1961"/>
      <c r="Q11" s="1961"/>
      <c r="R11" s="2095"/>
      <c r="S11" s="2094"/>
      <c r="T11" s="2091"/>
      <c r="U11" s="214"/>
      <c r="V11" s="1319"/>
      <c r="W11" s="1322" t="str">
        <f>X8&amp;"-"&amp;Z8</f>
        <v>-</v>
      </c>
      <c r="X11" s="2047"/>
      <c r="Y11" s="1850"/>
      <c r="Z11" s="2047"/>
      <c r="AA11" s="1850"/>
      <c r="AB11" s="1850"/>
      <c r="AC11" s="228"/>
      <c r="AD11" s="230"/>
      <c r="AE11" s="345" t="s">
        <v>551</v>
      </c>
      <c r="AF11" s="1319"/>
      <c r="AG11" s="1319"/>
      <c r="AH11" s="1319"/>
      <c r="AI11" s="1319"/>
      <c r="AJ11" s="1319"/>
      <c r="AK11" s="1319"/>
      <c r="AL11" s="1319"/>
      <c r="AM11" s="1319"/>
      <c r="AN11" s="1319"/>
      <c r="AO11" s="1320" t="str">
        <f>AP8&amp;"-"&amp;AR8</f>
        <v>-</v>
      </c>
      <c r="AP11" s="1319"/>
      <c r="AQ11" s="1319"/>
      <c r="AR11" s="1319"/>
      <c r="AS11" s="1319"/>
      <c r="AT11" s="1276"/>
      <c r="AU11" s="2065"/>
      <c r="AW11" s="426"/>
      <c r="AX11" s="426" t="str">
        <f t="shared" ref="AX11:AX17" si="1">IF(T11="","",T11)</f>
        <v/>
      </c>
      <c r="AY11" s="426"/>
      <c r="AZ11" s="426"/>
    </row>
    <row r="12" spans="1:52" ht="11.25" hidden="1" customHeight="1">
      <c r="A12" s="1289"/>
      <c r="B12" s="1289"/>
      <c r="C12" s="1289"/>
      <c r="D12" s="1289"/>
      <c r="E12" s="2043"/>
      <c r="F12" s="2043"/>
      <c r="G12" s="2043"/>
      <c r="H12" s="2043"/>
      <c r="I12" s="2045"/>
      <c r="J12" s="2044"/>
      <c r="K12" s="1289"/>
      <c r="L12" s="1290"/>
      <c r="P12" s="1961"/>
      <c r="Q12" s="1961"/>
      <c r="R12" s="277"/>
      <c r="S12" s="1208"/>
      <c r="T12" s="202" t="s">
        <v>552</v>
      </c>
      <c r="U12" s="291"/>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45"/>
      <c r="AU12" s="2066"/>
      <c r="AW12" s="426"/>
      <c r="AX12" s="426" t="str">
        <f t="shared" si="1"/>
        <v>Добавить строку</v>
      </c>
      <c r="AY12" s="426"/>
      <c r="AZ12" s="426"/>
    </row>
    <row r="13" spans="1:52" s="1567" customFormat="1" ht="14.25" hidden="1" customHeight="1">
      <c r="A13" s="1270"/>
      <c r="B13" s="1270"/>
      <c r="C13" s="1270"/>
      <c r="D13" s="1270"/>
      <c r="E13" s="2043"/>
      <c r="F13" s="2043"/>
      <c r="G13" s="2043"/>
      <c r="H13" s="2043"/>
      <c r="I13" s="2044"/>
      <c r="J13" s="1270"/>
      <c r="K13" s="1270"/>
      <c r="L13" s="1273"/>
      <c r="M13" s="436"/>
      <c r="N13" s="436"/>
      <c r="O13" s="436"/>
      <c r="P13" s="1961"/>
      <c r="Q13" s="1258"/>
      <c r="R13" s="277"/>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26"/>
      <c r="AX13" s="426" t="str">
        <f t="shared" si="1"/>
        <v/>
      </c>
      <c r="AY13" s="426"/>
      <c r="AZ13" s="426"/>
    </row>
    <row r="14" spans="1:52" s="1567" customFormat="1" ht="14.25" hidden="1" customHeight="1">
      <c r="A14" s="1270"/>
      <c r="B14" s="1270"/>
      <c r="C14" s="1270"/>
      <c r="D14" s="1270"/>
      <c r="E14" s="2043"/>
      <c r="F14" s="2043"/>
      <c r="G14" s="2043"/>
      <c r="H14" s="2042"/>
      <c r="I14" s="1270"/>
      <c r="J14" s="1270"/>
      <c r="K14" s="1270"/>
      <c r="L14" s="1273"/>
      <c r="M14" s="1243"/>
      <c r="N14" s="1243"/>
      <c r="O14" s="444"/>
      <c r="P14" s="308"/>
      <c r="Q14" s="1271"/>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26"/>
      <c r="AX14" s="426" t="str">
        <f t="shared" si="1"/>
        <v/>
      </c>
      <c r="AY14" s="426"/>
      <c r="AZ14" s="426"/>
    </row>
    <row r="15" spans="1:52" s="1567" customFormat="1" ht="14.25" hidden="1" customHeight="1">
      <c r="A15" s="1270"/>
      <c r="B15" s="1270"/>
      <c r="C15" s="1270"/>
      <c r="D15" s="1242"/>
      <c r="E15" s="2043"/>
      <c r="F15" s="2043"/>
      <c r="G15" s="2042"/>
      <c r="H15" s="1242"/>
      <c r="I15" s="1242"/>
      <c r="J15" s="1242"/>
      <c r="K15" s="1242"/>
      <c r="L15" s="1266"/>
      <c r="M15" s="1243"/>
      <c r="N15" s="1243"/>
      <c r="P15" s="1244"/>
      <c r="Q15" s="1245"/>
      <c r="R15" s="1244"/>
      <c r="S15" s="1250"/>
      <c r="T15" s="1253" t="s">
        <v>445</v>
      </c>
      <c r="U15" s="1252"/>
      <c r="V15" s="1252"/>
      <c r="W15" s="1252"/>
      <c r="X15" s="1252"/>
      <c r="Y15" s="1252"/>
      <c r="Z15" s="1252"/>
      <c r="AA15" s="1252"/>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W15" s="707"/>
      <c r="AX15" s="707" t="str">
        <f t="shared" si="1"/>
        <v>Добавить источник для дифференциации</v>
      </c>
      <c r="AY15" s="707"/>
      <c r="AZ15" s="707"/>
    </row>
    <row r="16" spans="1:52" s="1567" customFormat="1" ht="14.25" hidden="1" customHeight="1">
      <c r="A16" s="1270"/>
      <c r="B16" s="1270"/>
      <c r="C16" s="1242"/>
      <c r="D16" s="1242"/>
      <c r="E16" s="2043"/>
      <c r="F16" s="2042"/>
      <c r="G16" s="1242"/>
      <c r="H16" s="1242"/>
      <c r="I16" s="1242"/>
      <c r="J16" s="1242"/>
      <c r="K16" s="1242"/>
      <c r="L16" s="1266"/>
      <c r="M16" s="1249"/>
      <c r="N16" s="1249"/>
      <c r="P16" s="1244"/>
      <c r="Q16" s="1245"/>
      <c r="R16" s="1244"/>
      <c r="S16" s="1250"/>
      <c r="T16" s="1253" t="s">
        <v>446</v>
      </c>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W16" s="707"/>
      <c r="AX16" s="707" t="str">
        <f t="shared" si="1"/>
        <v>Добавить централизованную систему для дифференциации</v>
      </c>
      <c r="AY16" s="707"/>
      <c r="AZ16" s="707"/>
    </row>
    <row r="17" spans="1:52" s="1567" customFormat="1" ht="14.25" hidden="1" customHeight="1">
      <c r="A17" s="1270"/>
      <c r="B17" s="1270"/>
      <c r="C17" s="1270"/>
      <c r="D17" s="1270"/>
      <c r="E17" s="2042"/>
      <c r="F17" s="1270"/>
      <c r="G17" s="1270"/>
      <c r="H17" s="1270"/>
      <c r="I17" s="1270"/>
      <c r="J17" s="1270"/>
      <c r="K17" s="1270"/>
      <c r="L17" s="1273"/>
      <c r="M17" s="1249"/>
      <c r="N17" s="1249"/>
      <c r="O17" s="444"/>
      <c r="P17" s="308"/>
      <c r="Q17" s="1271"/>
      <c r="R17" s="308"/>
      <c r="S17" s="1250"/>
      <c r="T17" s="1253" t="s">
        <v>447</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W17" s="426"/>
      <c r="AX17" s="426" t="str">
        <f t="shared" si="1"/>
        <v>Добавить территорию для дифференциации</v>
      </c>
      <c r="AY17" s="426"/>
      <c r="AZ17" s="426"/>
    </row>
    <row r="18" spans="1:52" ht="14.25" hidden="1" customHeight="1">
      <c r="AA18" s="249"/>
      <c r="AS18" s="249"/>
    </row>
    <row r="19" spans="1:52" ht="14.25" hidden="1" customHeight="1">
      <c r="AB19" s="1252" t="s">
        <v>56</v>
      </c>
      <c r="AC19" s="1421"/>
      <c r="AD19" s="473">
        <v>1</v>
      </c>
      <c r="AE19" s="1422"/>
      <c r="AF19" s="1252" t="s">
        <v>56</v>
      </c>
      <c r="AG19" s="1421"/>
      <c r="AH19" s="473">
        <v>1</v>
      </c>
      <c r="AI19" s="1422"/>
      <c r="AJ19" s="1252" t="s">
        <v>56</v>
      </c>
      <c r="AK19" s="1423"/>
      <c r="AL19" s="473">
        <v>1</v>
      </c>
      <c r="AM19" s="1426"/>
      <c r="AN19" s="1329"/>
      <c r="AO19" s="1330"/>
      <c r="AP19" s="1660"/>
      <c r="AQ19" s="1383" t="s">
        <v>58</v>
      </c>
      <c r="AR19" s="1660"/>
      <c r="AS19" s="1383" t="s">
        <v>58</v>
      </c>
    </row>
    <row r="20" spans="1:52" ht="14.25" hidden="1" customHeight="1">
      <c r="AV20" s="422"/>
      <c r="AW20" s="422"/>
      <c r="AX20" s="422"/>
      <c r="AY20" s="422"/>
      <c r="AZ20" s="422"/>
    </row>
    <row r="21" spans="1:52" ht="14.25" hidden="1" customHeight="1">
      <c r="O21" s="1293" t="s">
        <v>489</v>
      </c>
      <c r="X21" s="1272"/>
      <c r="Z21" s="1272"/>
      <c r="AA21" s="249"/>
      <c r="AP21" s="1272"/>
      <c r="AR21" s="1272"/>
      <c r="AS21" s="249"/>
      <c r="AV21" s="422"/>
      <c r="AW21" s="422"/>
      <c r="AX21" s="422"/>
      <c r="AY21" s="422"/>
      <c r="AZ21" s="422"/>
    </row>
    <row r="22" spans="1:52" ht="14.25" hidden="1" customHeight="1">
      <c r="AA22" s="249"/>
      <c r="AS22" s="249"/>
      <c r="AV22" s="422"/>
      <c r="AW22" s="422"/>
      <c r="AX22" s="422"/>
      <c r="AY22" s="422"/>
      <c r="AZ22" s="422"/>
    </row>
    <row r="23" spans="1:52" s="1429" customFormat="1" ht="14.25" hidden="1" customHeight="1">
      <c r="M23" s="1428"/>
      <c r="N23" s="1428"/>
      <c r="O23" s="1429" t="s">
        <v>490</v>
      </c>
      <c r="P23" s="1428"/>
      <c r="Q23" s="1430"/>
      <c r="R23" s="1430"/>
      <c r="Y23" s="1427" t="s">
        <v>492</v>
      </c>
      <c r="AA23" s="1427" t="s">
        <v>493</v>
      </c>
      <c r="AB23" s="1427" t="s">
        <v>553</v>
      </c>
      <c r="AE23" s="1427" t="s">
        <v>554</v>
      </c>
      <c r="AF23" s="1427" t="s">
        <v>553</v>
      </c>
      <c r="AI23" s="1427" t="s">
        <v>555</v>
      </c>
      <c r="AJ23" s="1427" t="s">
        <v>553</v>
      </c>
      <c r="AM23" s="1427" t="s">
        <v>556</v>
      </c>
      <c r="AQ23" s="1427" t="s">
        <v>492</v>
      </c>
      <c r="AS23" s="1427" t="s">
        <v>493</v>
      </c>
      <c r="AV23" s="1431"/>
      <c r="AW23" s="1431"/>
      <c r="AX23" s="1431"/>
      <c r="AY23" s="1431"/>
      <c r="AZ23" s="1431"/>
    </row>
    <row r="24" spans="1:52" ht="14.25" hidden="1" customHeight="1">
      <c r="O24" s="1290"/>
      <c r="AV24" s="422"/>
      <c r="AW24" s="422"/>
      <c r="AX24" s="422"/>
      <c r="AY24" s="422"/>
      <c r="AZ24" s="422"/>
    </row>
    <row r="25" spans="1:52" ht="14.25" hidden="1" customHeight="1">
      <c r="O25" s="1290"/>
      <c r="AV25" s="422"/>
      <c r="AW25" s="422"/>
      <c r="AX25" s="422"/>
      <c r="AY25" s="422"/>
      <c r="AZ25" s="422"/>
    </row>
    <row r="26" spans="1:52" ht="14.25" customHeight="1">
      <c r="Q26" s="206"/>
      <c r="R26" s="300"/>
      <c r="S26" s="1205"/>
      <c r="T26" s="286"/>
      <c r="U26" s="28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row>
    <row r="27" spans="1:52" ht="33.75" customHeight="1">
      <c r="Q27" s="206"/>
      <c r="R27" s="300"/>
      <c r="S27" s="20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67"/>
      <c r="U27" s="2067"/>
      <c r="V27" s="2067"/>
      <c r="W27" s="2067"/>
      <c r="X27" s="2067"/>
      <c r="Y27" s="2067"/>
      <c r="Z27" s="2067"/>
      <c r="AA27" s="2067"/>
      <c r="AB27" s="2067"/>
      <c r="AC27" s="2067"/>
      <c r="AD27" s="2067"/>
      <c r="AE27" s="2067"/>
      <c r="AF27" s="2067"/>
      <c r="AG27" s="2067"/>
      <c r="AH27" s="2067"/>
      <c r="AI27" s="2067"/>
      <c r="AJ27" s="2067"/>
      <c r="AK27" s="2067"/>
      <c r="AL27" s="2067"/>
      <c r="AM27" s="2067"/>
      <c r="AN27" s="2067"/>
      <c r="AO27" s="2067"/>
      <c r="AP27" s="2067"/>
      <c r="AQ27" s="2067"/>
      <c r="AR27" s="2067"/>
      <c r="AS27" s="1162"/>
    </row>
    <row r="28" spans="1:52" ht="14.25" customHeight="1">
      <c r="Q28" s="206"/>
      <c r="R28" s="300"/>
      <c r="S28" s="1927" t="str">
        <f>IF(org=0,"Не определено",org)</f>
        <v>НАО "СВЕЗА Мантурово"</v>
      </c>
      <c r="T28" s="1927"/>
      <c r="U28" s="1927"/>
      <c r="V28" s="1927"/>
      <c r="W28" s="1927"/>
      <c r="X28" s="1927"/>
      <c r="Y28" s="1927"/>
      <c r="Z28" s="1927"/>
      <c r="AA28" s="1927"/>
      <c r="AB28" s="1927"/>
      <c r="AC28" s="1927"/>
      <c r="AD28" s="1927"/>
      <c r="AE28" s="1927"/>
      <c r="AF28" s="1927"/>
      <c r="AG28" s="1927"/>
      <c r="AH28" s="1927"/>
      <c r="AI28" s="1927"/>
      <c r="AJ28" s="1927"/>
      <c r="AK28" s="1927"/>
      <c r="AL28" s="1927"/>
      <c r="AM28" s="1927"/>
      <c r="AN28" s="1927"/>
      <c r="AO28" s="1927"/>
      <c r="AP28" s="1927"/>
      <c r="AQ28" s="1927"/>
      <c r="AR28" s="1927"/>
      <c r="AS28" s="1162"/>
    </row>
    <row r="29" spans="1:52" ht="14.25" hidden="1" customHeight="1">
      <c r="Q29" s="206"/>
      <c r="R29" s="300"/>
      <c r="S29" s="1205"/>
      <c r="T29" s="286"/>
      <c r="U29" s="286"/>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435"/>
    </row>
    <row r="30" spans="1:52" s="1781" customFormat="1" ht="25.5" hidden="1" customHeight="1">
      <c r="A30" s="1294"/>
      <c r="B30" s="1294"/>
      <c r="C30" s="1294"/>
      <c r="D30" s="1294"/>
      <c r="E30" s="1294"/>
      <c r="F30" s="1294"/>
      <c r="G30" s="1294"/>
      <c r="H30" s="1294"/>
      <c r="I30" s="1294"/>
      <c r="J30" s="1294"/>
      <c r="K30" s="1294"/>
      <c r="L30" s="1295"/>
      <c r="M30" s="1294"/>
      <c r="N30" s="1294"/>
      <c r="O30" s="1294"/>
      <c r="P30" s="1294"/>
      <c r="Q30" s="1294"/>
      <c r="S30" s="2033" t="s">
        <v>39</v>
      </c>
      <c r="T30" s="2033"/>
      <c r="U30" s="1298"/>
      <c r="V30" s="2035"/>
      <c r="W30" s="2035"/>
      <c r="X30" s="2035"/>
      <c r="Y30" s="2035"/>
      <c r="Z30" s="2035"/>
      <c r="AA30" s="248"/>
      <c r="AB30" s="2035" t="str">
        <f>IF(TITLE_NAME_OR_PR_CHANGE="",IF(TITLE_NAME_OR_PR="","",TITLE_NAME_OR_PR),TITLE_NAME_OR_PR_CHANGE)</f>
        <v/>
      </c>
      <c r="AC30" s="2035"/>
      <c r="AD30" s="2035"/>
      <c r="AE30" s="2035"/>
      <c r="AF30" s="2035"/>
      <c r="AG30" s="2035"/>
      <c r="AH30" s="2035"/>
      <c r="AI30" s="2035"/>
      <c r="AJ30" s="2035"/>
      <c r="AK30" s="2035"/>
      <c r="AL30" s="2035"/>
      <c r="AM30" s="2035"/>
      <c r="AN30" s="2035"/>
      <c r="AO30" s="2035"/>
      <c r="AP30" s="2035"/>
      <c r="AQ30" s="2035"/>
      <c r="AR30" s="2035"/>
      <c r="AS30" s="248"/>
      <c r="AT30" s="248"/>
      <c r="AU30" s="196"/>
      <c r="AV30" s="292"/>
      <c r="AW30" s="292"/>
      <c r="AX30" s="292"/>
      <c r="AY30" s="292"/>
      <c r="AZ30" s="292"/>
    </row>
    <row r="31" spans="1:52" s="1781" customFormat="1" ht="18.75" hidden="1" customHeight="1">
      <c r="A31" s="1294"/>
      <c r="B31" s="1294"/>
      <c r="C31" s="1294"/>
      <c r="D31" s="1294"/>
      <c r="E31" s="1294"/>
      <c r="F31" s="1294"/>
      <c r="G31" s="1294"/>
      <c r="H31" s="1294"/>
      <c r="I31" s="1294"/>
      <c r="J31" s="1294"/>
      <c r="K31" s="1294"/>
      <c r="L31" s="1295"/>
      <c r="M31" s="1294"/>
      <c r="N31" s="1294"/>
      <c r="O31" s="1294"/>
      <c r="P31" s="1294"/>
      <c r="Q31" s="1294"/>
      <c r="S31" s="2033" t="s">
        <v>495</v>
      </c>
      <c r="T31" s="2033"/>
      <c r="U31" s="1298"/>
      <c r="V31" s="2034"/>
      <c r="W31" s="2034"/>
      <c r="X31" s="2034"/>
      <c r="Y31" s="2034"/>
      <c r="Z31" s="2034"/>
      <c r="AA31" s="248"/>
      <c r="AB31" s="2034" t="str">
        <f>IF(TITLE_DATE_CHANGE_PERIOD="",IF(TITLE_DATE_PR="","",TITLE_DATE_PR),TITLE_DATE_CHANGE_PERIOD)</f>
        <v/>
      </c>
      <c r="AC31" s="2034"/>
      <c r="AD31" s="2034"/>
      <c r="AE31" s="2034"/>
      <c r="AF31" s="2034"/>
      <c r="AG31" s="2034"/>
      <c r="AH31" s="2034"/>
      <c r="AI31" s="2034"/>
      <c r="AJ31" s="2034"/>
      <c r="AK31" s="2034"/>
      <c r="AL31" s="2034"/>
      <c r="AM31" s="2034"/>
      <c r="AN31" s="2034"/>
      <c r="AO31" s="2034"/>
      <c r="AP31" s="2034"/>
      <c r="AQ31" s="2034"/>
      <c r="AR31" s="2034"/>
      <c r="AS31" s="248"/>
      <c r="AT31" s="248"/>
      <c r="AU31" s="196"/>
      <c r="AV31" s="292"/>
      <c r="AW31" s="292"/>
      <c r="AX31" s="292"/>
      <c r="AY31" s="292"/>
      <c r="AZ31" s="292"/>
    </row>
    <row r="32" spans="1:52" s="1781" customFormat="1" ht="18.75" hidden="1" customHeight="1">
      <c r="A32" s="1294"/>
      <c r="B32" s="1294"/>
      <c r="C32" s="1294"/>
      <c r="D32" s="1294"/>
      <c r="E32" s="1294"/>
      <c r="F32" s="1294"/>
      <c r="G32" s="1294"/>
      <c r="H32" s="1294"/>
      <c r="I32" s="1294"/>
      <c r="J32" s="1294"/>
      <c r="K32" s="1294"/>
      <c r="L32" s="1295"/>
      <c r="M32" s="1294"/>
      <c r="N32" s="1294"/>
      <c r="O32" s="1294"/>
      <c r="P32" s="1294"/>
      <c r="Q32" s="1294"/>
      <c r="S32" s="2033" t="s">
        <v>496</v>
      </c>
      <c r="T32" s="2033"/>
      <c r="U32" s="1298"/>
      <c r="V32" s="2035"/>
      <c r="W32" s="2035"/>
      <c r="X32" s="2035"/>
      <c r="Y32" s="2035"/>
      <c r="Z32" s="2035"/>
      <c r="AA32" s="248"/>
      <c r="AB32" s="2035" t="str">
        <f>IF(TITLE_NUMBER_PR_CHANGE="",IF(TITLE_NUMBER_PR="","",TITLE_NUMBER_PR),TITLE_NUMBER_PR_CHANGE)</f>
        <v/>
      </c>
      <c r="AC32" s="2035"/>
      <c r="AD32" s="2035"/>
      <c r="AE32" s="2035"/>
      <c r="AF32" s="2035"/>
      <c r="AG32" s="2035"/>
      <c r="AH32" s="2035"/>
      <c r="AI32" s="2035"/>
      <c r="AJ32" s="2035"/>
      <c r="AK32" s="2035"/>
      <c r="AL32" s="2035"/>
      <c r="AM32" s="2035"/>
      <c r="AN32" s="2035"/>
      <c r="AO32" s="2035"/>
      <c r="AP32" s="2035"/>
      <c r="AQ32" s="2035"/>
      <c r="AR32" s="2035"/>
      <c r="AS32" s="248"/>
      <c r="AT32" s="248"/>
      <c r="AU32" s="196"/>
      <c r="AV32" s="292"/>
      <c r="AW32" s="292"/>
      <c r="AX32" s="292"/>
      <c r="AY32" s="292"/>
      <c r="AZ32" s="292"/>
    </row>
    <row r="33" spans="1:52" s="1781" customFormat="1" ht="18.75" hidden="1" customHeight="1">
      <c r="A33" s="1294"/>
      <c r="B33" s="1294"/>
      <c r="C33" s="1294"/>
      <c r="D33" s="1294"/>
      <c r="E33" s="1294"/>
      <c r="F33" s="1294"/>
      <c r="G33" s="1294"/>
      <c r="H33" s="1294"/>
      <c r="I33" s="1294"/>
      <c r="J33" s="1294"/>
      <c r="K33" s="1294"/>
      <c r="L33" s="1295"/>
      <c r="M33" s="1294"/>
      <c r="N33" s="1294"/>
      <c r="O33" s="1294"/>
      <c r="P33" s="1294"/>
      <c r="Q33" s="1294"/>
      <c r="S33" s="2033" t="s">
        <v>40</v>
      </c>
      <c r="T33" s="2033"/>
      <c r="U33" s="1298"/>
      <c r="V33" s="2035"/>
      <c r="W33" s="2035"/>
      <c r="X33" s="2035"/>
      <c r="Y33" s="2035"/>
      <c r="Z33" s="2035"/>
      <c r="AA33" s="248"/>
      <c r="AB33" s="2035" t="str">
        <f>IF(TITLE_IST_PUB_CHANGE="",IF(TITLE_IST_PUB="","",TITLE_IST_PUB),TITLE_IST_PUB_CHANGE)</f>
        <v/>
      </c>
      <c r="AC33" s="2035"/>
      <c r="AD33" s="2035"/>
      <c r="AE33" s="2035"/>
      <c r="AF33" s="2035"/>
      <c r="AG33" s="2035"/>
      <c r="AH33" s="2035"/>
      <c r="AI33" s="2035"/>
      <c r="AJ33" s="2035"/>
      <c r="AK33" s="2035"/>
      <c r="AL33" s="2035"/>
      <c r="AM33" s="2035"/>
      <c r="AN33" s="2035"/>
      <c r="AO33" s="2035"/>
      <c r="AP33" s="2035"/>
      <c r="AQ33" s="2035"/>
      <c r="AR33" s="2035"/>
      <c r="AS33" s="248"/>
      <c r="AT33" s="248"/>
      <c r="AU33" s="196"/>
      <c r="AV33" s="292"/>
      <c r="AW33" s="292"/>
      <c r="AX33" s="292"/>
      <c r="AY33" s="292"/>
      <c r="AZ33" s="292"/>
    </row>
    <row r="34" spans="1:52" ht="14.25" hidden="1" customHeight="1">
      <c r="Q34" s="206"/>
      <c r="R34" s="300"/>
      <c r="S34" s="1205"/>
      <c r="T34" s="286"/>
      <c r="U34" s="286"/>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435"/>
    </row>
    <row r="35" spans="1:52" s="1781" customFormat="1" ht="18.75" hidden="1" customHeight="1">
      <c r="A35" s="1294"/>
      <c r="B35" s="1294"/>
      <c r="C35" s="1294"/>
      <c r="D35" s="1294"/>
      <c r="E35" s="1294"/>
      <c r="F35" s="1294"/>
      <c r="G35" s="1294"/>
      <c r="H35" s="1294"/>
      <c r="I35" s="1294"/>
      <c r="J35" s="1294"/>
      <c r="K35" s="1294"/>
      <c r="L35" s="1295"/>
      <c r="M35" s="1294"/>
      <c r="N35" s="1294"/>
      <c r="O35" s="1294"/>
      <c r="P35" s="1294"/>
      <c r="Q35" s="1294"/>
      <c r="S35" s="2033" t="s">
        <v>495</v>
      </c>
      <c r="T35" s="2033"/>
      <c r="U35" s="1298"/>
      <c r="V35" s="2034"/>
      <c r="W35" s="2034"/>
      <c r="X35" s="2034"/>
      <c r="Y35" s="2034"/>
      <c r="Z35" s="2034"/>
      <c r="AA35" s="248"/>
      <c r="AB35" s="2034" t="str">
        <f>IF(TITLE_DATE_CHANGE_PERIOD="",IF(TITLE_DATE_PR="","",TITLE_DATE_PR),TITLE_DATE_CHANGE_PERIOD)</f>
        <v/>
      </c>
      <c r="AC35" s="2034"/>
      <c r="AD35" s="2034"/>
      <c r="AE35" s="2034"/>
      <c r="AF35" s="2034"/>
      <c r="AG35" s="2034"/>
      <c r="AH35" s="2034"/>
      <c r="AI35" s="2034"/>
      <c r="AJ35" s="2034"/>
      <c r="AK35" s="2034"/>
      <c r="AL35" s="2034"/>
      <c r="AM35" s="2034"/>
      <c r="AN35" s="2034"/>
      <c r="AO35" s="2034"/>
      <c r="AP35" s="2034"/>
      <c r="AQ35" s="2034"/>
      <c r="AR35" s="2034"/>
      <c r="AS35" s="248"/>
      <c r="AT35" s="248"/>
      <c r="AU35" s="196"/>
      <c r="AV35" s="292"/>
      <c r="AW35" s="292"/>
      <c r="AX35" s="292"/>
      <c r="AY35" s="292"/>
      <c r="AZ35" s="292"/>
    </row>
    <row r="36" spans="1:52" s="1781" customFormat="1" ht="18" hidden="1" customHeight="1">
      <c r="A36" s="1294"/>
      <c r="B36" s="1294"/>
      <c r="C36" s="1294"/>
      <c r="D36" s="1294"/>
      <c r="E36" s="1294"/>
      <c r="F36" s="1294"/>
      <c r="G36" s="1294"/>
      <c r="H36" s="1294"/>
      <c r="I36" s="1294"/>
      <c r="J36" s="1294"/>
      <c r="K36" s="1294"/>
      <c r="L36" s="1295"/>
      <c r="M36" s="1294"/>
      <c r="N36" s="1294"/>
      <c r="O36" s="1294"/>
      <c r="P36" s="1294"/>
      <c r="Q36" s="1294"/>
      <c r="S36" s="2033" t="s">
        <v>496</v>
      </c>
      <c r="T36" s="2033"/>
      <c r="U36" s="1298"/>
      <c r="V36" s="2035"/>
      <c r="W36" s="2035"/>
      <c r="X36" s="2035"/>
      <c r="Y36" s="2035"/>
      <c r="Z36" s="2035"/>
      <c r="AA36" s="248"/>
      <c r="AB36" s="2035" t="str">
        <f>IF(TITLE_NUMBER_PR_CHANGE="",IF(TITLE_NUMBER_PR="","",TITLE_NUMBER_PR),TITLE_NUMBER_PR_CHANGE)</f>
        <v/>
      </c>
      <c r="AC36" s="2035"/>
      <c r="AD36" s="2035"/>
      <c r="AE36" s="2035"/>
      <c r="AF36" s="2035"/>
      <c r="AG36" s="2035"/>
      <c r="AH36" s="2035"/>
      <c r="AI36" s="2035"/>
      <c r="AJ36" s="2035"/>
      <c r="AK36" s="2035"/>
      <c r="AL36" s="2035"/>
      <c r="AM36" s="2035"/>
      <c r="AN36" s="2035"/>
      <c r="AO36" s="2035"/>
      <c r="AP36" s="2035"/>
      <c r="AQ36" s="2035"/>
      <c r="AR36" s="2035"/>
      <c r="AS36" s="248"/>
      <c r="AT36" s="248"/>
      <c r="AU36" s="196"/>
      <c r="AV36" s="292"/>
      <c r="AW36" s="292"/>
      <c r="AX36" s="292"/>
      <c r="AY36" s="292"/>
      <c r="AZ36" s="292"/>
    </row>
    <row r="37" spans="1:52" s="1781" customFormat="1" ht="0.75" customHeight="1">
      <c r="A37" s="1294"/>
      <c r="B37" s="1294"/>
      <c r="C37" s="1294"/>
      <c r="D37" s="1294"/>
      <c r="E37" s="1294"/>
      <c r="F37" s="1294"/>
      <c r="G37" s="1294"/>
      <c r="H37" s="1294"/>
      <c r="I37" s="1294"/>
      <c r="J37" s="1294"/>
      <c r="K37" s="1294"/>
      <c r="L37" s="1295"/>
      <c r="M37" s="1294"/>
      <c r="N37" s="1294"/>
      <c r="O37" s="1294"/>
      <c r="P37" s="1294"/>
      <c r="Q37" s="1294"/>
      <c r="S37" s="244"/>
      <c r="T37" s="244"/>
      <c r="U37" s="1267"/>
      <c r="V37" s="248"/>
      <c r="W37" s="248"/>
      <c r="X37" s="248"/>
      <c r="Y37" s="248"/>
      <c r="Z37" s="248"/>
      <c r="AA37" s="194" t="s">
        <v>499</v>
      </c>
      <c r="AB37" s="248"/>
      <c r="AC37" s="248"/>
      <c r="AD37" s="248"/>
      <c r="AE37" s="248"/>
      <c r="AF37" s="248"/>
      <c r="AG37" s="248"/>
      <c r="AH37" s="248"/>
      <c r="AI37" s="248"/>
      <c r="AJ37" s="248"/>
      <c r="AK37" s="248"/>
      <c r="AL37" s="248"/>
      <c r="AM37" s="248"/>
      <c r="AN37" s="248"/>
      <c r="AO37" s="248"/>
      <c r="AP37" s="248"/>
      <c r="AQ37" s="248"/>
      <c r="AR37" s="248"/>
      <c r="AS37" s="194" t="s">
        <v>499</v>
      </c>
      <c r="AV37" s="292"/>
      <c r="AW37" s="292"/>
      <c r="AX37" s="292"/>
      <c r="AY37" s="292"/>
      <c r="AZ37" s="292"/>
    </row>
    <row r="38" spans="1:52" ht="14.25" customHeight="1">
      <c r="Q38" s="206"/>
      <c r="R38" s="300"/>
      <c r="S38" s="1205"/>
      <c r="T38" s="286"/>
      <c r="U38" s="1163"/>
      <c r="V38" s="2053"/>
      <c r="W38" s="2053"/>
      <c r="X38" s="2053"/>
      <c r="Y38" s="2053"/>
      <c r="Z38" s="2053"/>
      <c r="AA38" s="2053"/>
      <c r="AB38" s="2053"/>
      <c r="AC38" s="2053"/>
      <c r="AD38" s="2053"/>
      <c r="AE38" s="2053"/>
      <c r="AF38" s="2053"/>
      <c r="AG38" s="2053"/>
      <c r="AH38" s="2053"/>
      <c r="AI38" s="2053"/>
      <c r="AJ38" s="2053"/>
      <c r="AK38" s="2053"/>
      <c r="AL38" s="2053"/>
      <c r="AM38" s="2053"/>
      <c r="AN38" s="2053"/>
      <c r="AO38" s="2053"/>
      <c r="AP38" s="2053"/>
      <c r="AQ38" s="2053"/>
      <c r="AR38" s="2053"/>
      <c r="AS38" s="2053"/>
    </row>
    <row r="39" spans="1:52" ht="14.25" customHeight="1">
      <c r="Q39" s="206"/>
      <c r="R39" s="300"/>
      <c r="S39" s="1840" t="s">
        <v>282</v>
      </c>
      <c r="T39" s="1840"/>
      <c r="U39" s="1840"/>
      <c r="V39" s="1840"/>
      <c r="W39" s="1840"/>
      <c r="X39" s="1840"/>
      <c r="Y39" s="1840"/>
      <c r="Z39" s="1840"/>
      <c r="AA39" s="1840"/>
      <c r="AB39" s="1894"/>
      <c r="AC39" s="1894"/>
      <c r="AD39" s="1894"/>
      <c r="AE39" s="1894"/>
      <c r="AF39" s="1840"/>
      <c r="AG39" s="1840"/>
      <c r="AH39" s="1840"/>
      <c r="AI39" s="1840"/>
      <c r="AJ39" s="1840"/>
      <c r="AK39" s="1840"/>
      <c r="AL39" s="1840"/>
      <c r="AM39" s="1840"/>
      <c r="AN39" s="1840"/>
      <c r="AO39" s="1840"/>
      <c r="AP39" s="1840"/>
      <c r="AQ39" s="1840"/>
      <c r="AR39" s="1840"/>
      <c r="AS39" s="1840"/>
      <c r="AT39" s="1840"/>
      <c r="AU39" s="1840" t="s">
        <v>283</v>
      </c>
    </row>
    <row r="40" spans="1:52" ht="14.25" customHeight="1">
      <c r="Q40" s="206"/>
      <c r="R40" s="300"/>
      <c r="S40" s="2054" t="s">
        <v>87</v>
      </c>
      <c r="T40" s="1925" t="s">
        <v>557</v>
      </c>
      <c r="U40" s="215"/>
      <c r="V40" s="2056"/>
      <c r="W40" s="2056"/>
      <c r="X40" s="2056"/>
      <c r="Y40" s="2056"/>
      <c r="Z40" s="2057"/>
      <c r="AA40" s="2097" t="s">
        <v>502</v>
      </c>
      <c r="AB40" s="2081" t="s">
        <v>558</v>
      </c>
      <c r="AC40" s="2070"/>
      <c r="AD40" s="2070"/>
      <c r="AE40" s="2082"/>
      <c r="AF40" s="2070" t="s">
        <v>559</v>
      </c>
      <c r="AG40" s="2070"/>
      <c r="AH40" s="2070"/>
      <c r="AI40" s="2082"/>
      <c r="AJ40" s="2081" t="s">
        <v>560</v>
      </c>
      <c r="AK40" s="2070"/>
      <c r="AL40" s="2070"/>
      <c r="AM40" s="2082"/>
      <c r="AN40" s="2081" t="s">
        <v>501</v>
      </c>
      <c r="AO40" s="2070"/>
      <c r="AP40" s="2056"/>
      <c r="AQ40" s="2056"/>
      <c r="AR40" s="2057"/>
      <c r="AS40" s="2058" t="s">
        <v>502</v>
      </c>
      <c r="AT40" s="2061" t="s">
        <v>504</v>
      </c>
      <c r="AU40" s="1840"/>
    </row>
    <row r="41" spans="1:52" ht="33.75" customHeight="1">
      <c r="Q41" s="206"/>
      <c r="R41" s="300"/>
      <c r="S41" s="2054"/>
      <c r="T41" s="1925"/>
      <c r="U41" s="947"/>
      <c r="V41" s="1895" t="s">
        <v>561</v>
      </c>
      <c r="W41" s="1896"/>
      <c r="X41" s="1895" t="s">
        <v>508</v>
      </c>
      <c r="Y41" s="2075"/>
      <c r="Z41" s="1896"/>
      <c r="AA41" s="2098"/>
      <c r="AB41" s="2083"/>
      <c r="AC41" s="2084"/>
      <c r="AD41" s="2084"/>
      <c r="AE41" s="2096"/>
      <c r="AF41" s="2084"/>
      <c r="AG41" s="2084"/>
      <c r="AH41" s="2084"/>
      <c r="AI41" s="2096"/>
      <c r="AJ41" s="2083"/>
      <c r="AK41" s="2084"/>
      <c r="AL41" s="2084"/>
      <c r="AM41" s="2084"/>
      <c r="AN41" s="1840" t="s">
        <v>562</v>
      </c>
      <c r="AO41" s="1840"/>
      <c r="AP41" s="2075" t="s">
        <v>508</v>
      </c>
      <c r="AQ41" s="2075"/>
      <c r="AR41" s="1896"/>
      <c r="AS41" s="2059"/>
      <c r="AT41" s="2062"/>
      <c r="AU41" s="1840"/>
    </row>
    <row r="42" spans="1:52" ht="14.25" customHeight="1">
      <c r="Q42" s="206"/>
      <c r="R42" s="300"/>
      <c r="S42" s="2054"/>
      <c r="T42" s="1925"/>
      <c r="U42" s="947"/>
      <c r="V42" s="1900"/>
      <c r="W42" s="1901"/>
      <c r="X42" s="1900"/>
      <c r="Y42" s="2076"/>
      <c r="Z42" s="1901"/>
      <c r="AA42" s="2098"/>
      <c r="AB42" s="2083"/>
      <c r="AC42" s="2084"/>
      <c r="AD42" s="2084"/>
      <c r="AE42" s="2096"/>
      <c r="AF42" s="2084"/>
      <c r="AG42" s="2084"/>
      <c r="AH42" s="2084"/>
      <c r="AI42" s="2096"/>
      <c r="AJ42" s="2083"/>
      <c r="AK42" s="2084"/>
      <c r="AL42" s="2084"/>
      <c r="AM42" s="2084"/>
      <c r="AN42" s="2100"/>
      <c r="AO42" s="2100"/>
      <c r="AP42" s="2076"/>
      <c r="AQ42" s="2076"/>
      <c r="AR42" s="1901"/>
      <c r="AS42" s="2059"/>
      <c r="AT42" s="2062"/>
      <c r="AU42" s="1840"/>
    </row>
    <row r="43" spans="1:52" ht="14.25" customHeight="1">
      <c r="A43" s="1296"/>
      <c r="B43" s="1296" t="s">
        <v>131</v>
      </c>
      <c r="C43" s="1296" t="s">
        <v>132</v>
      </c>
      <c r="D43" s="1296" t="s">
        <v>133</v>
      </c>
      <c r="E43" s="1290" t="s">
        <v>509</v>
      </c>
      <c r="F43" s="1290" t="s">
        <v>510</v>
      </c>
      <c r="G43" s="1290" t="s">
        <v>511</v>
      </c>
      <c r="H43" s="1290" t="s">
        <v>512</v>
      </c>
      <c r="I43" s="1290" t="s">
        <v>513</v>
      </c>
      <c r="J43" s="1290" t="s">
        <v>514</v>
      </c>
      <c r="K43" s="1290" t="s">
        <v>515</v>
      </c>
      <c r="L43" s="1290" t="s">
        <v>490</v>
      </c>
      <c r="Q43" s="206"/>
      <c r="R43" s="300"/>
      <c r="S43" s="2054"/>
      <c r="T43" s="1925"/>
      <c r="U43" s="216"/>
      <c r="V43" s="1257" t="s">
        <v>563</v>
      </c>
      <c r="W43" s="1257" t="s">
        <v>564</v>
      </c>
      <c r="X43" s="1265" t="s">
        <v>518</v>
      </c>
      <c r="Y43" s="1931" t="s">
        <v>519</v>
      </c>
      <c r="Z43" s="1945"/>
      <c r="AA43" s="2099"/>
      <c r="AB43" s="2085"/>
      <c r="AC43" s="2086"/>
      <c r="AD43" s="2086"/>
      <c r="AE43" s="2087"/>
      <c r="AF43" s="2086"/>
      <c r="AG43" s="2086"/>
      <c r="AH43" s="2086"/>
      <c r="AI43" s="2087"/>
      <c r="AJ43" s="2085"/>
      <c r="AK43" s="2086"/>
      <c r="AL43" s="2086"/>
      <c r="AM43" s="2087"/>
      <c r="AN43" s="1790" t="s">
        <v>563</v>
      </c>
      <c r="AO43" s="1790" t="s">
        <v>564</v>
      </c>
      <c r="AP43" s="1265" t="s">
        <v>518</v>
      </c>
      <c r="AQ43" s="1931" t="s">
        <v>519</v>
      </c>
      <c r="AR43" s="1945"/>
      <c r="AS43" s="2060"/>
      <c r="AT43" s="2063"/>
      <c r="AU43" s="1840"/>
    </row>
    <row r="44" spans="1:52" s="1566" customFormat="1" ht="11.25" hidden="1" customHeight="1">
      <c r="A44" s="1296"/>
      <c r="B44" s="1296"/>
      <c r="C44" s="1296"/>
      <c r="D44" s="1296"/>
      <c r="E44" s="1296"/>
      <c r="F44" s="1296"/>
      <c r="G44" s="1296"/>
      <c r="H44" s="1296"/>
      <c r="I44" s="1296"/>
      <c r="J44" s="1296"/>
      <c r="K44" s="1296"/>
      <c r="L44" s="1290"/>
      <c r="M44" s="1288"/>
      <c r="N44" s="1288"/>
      <c r="O44" s="1288"/>
      <c r="P44" s="436"/>
      <c r="Q44" s="1181"/>
      <c r="R44" s="1181">
        <v>1</v>
      </c>
      <c r="S44" s="1207" t="s">
        <v>105</v>
      </c>
      <c r="T44" s="1182" t="s">
        <v>106</v>
      </c>
      <c r="U44" s="1164" t="str">
        <f ca="1">OFFSET(U44,0,-1)</f>
        <v>2</v>
      </c>
      <c r="V44" s="1262">
        <f ca="1">OFFSET(V44,0,-1)+1</f>
        <v>3</v>
      </c>
      <c r="W44" s="1262">
        <f ca="1">OFFSET(W44,0,-1)+1</f>
        <v>4</v>
      </c>
      <c r="X44" s="1262">
        <f ca="1">OFFSET(X44,0,-1)+1</f>
        <v>5</v>
      </c>
      <c r="Y44" s="2052">
        <f ca="1">OFFSET(Y44,0,-1)+1</f>
        <v>6</v>
      </c>
      <c r="Z44" s="205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052">
        <f ca="1">OFFSET(AQ44,0,-1)+1</f>
        <v>4</v>
      </c>
      <c r="AR44" s="2052"/>
      <c r="AS44" s="1262">
        <f ca="1">OFFSET(AS44,0,-2)+1</f>
        <v>5</v>
      </c>
      <c r="AT44" s="1164">
        <f ca="1">OFFSET(AT44,0,-1)</f>
        <v>5</v>
      </c>
      <c r="AU44" s="1262">
        <f ca="1">OFFSET(AU44,0,-1)+1</f>
        <v>6</v>
      </c>
      <c r="AV44" s="437"/>
      <c r="AW44" s="437"/>
      <c r="AX44" s="437"/>
      <c r="AY44" s="437"/>
      <c r="AZ44" s="437"/>
    </row>
    <row r="45" spans="1:52" ht="102" customHeight="1">
      <c r="A45" s="1289" t="s">
        <v>194</v>
      </c>
      <c r="B45" s="1289"/>
      <c r="C45" s="1289"/>
      <c r="D45" s="1289"/>
      <c r="E45" s="2042">
        <v>1</v>
      </c>
      <c r="F45" s="1289"/>
      <c r="G45" s="1289"/>
      <c r="H45" s="1289"/>
      <c r="I45" s="1289"/>
      <c r="J45" s="1289"/>
      <c r="K45" s="1289"/>
      <c r="L45" s="1290"/>
      <c r="M45" s="1291"/>
      <c r="N45" s="1291"/>
      <c r="O45" s="1291"/>
      <c r="P45" s="1335"/>
      <c r="Q45" s="790"/>
      <c r="R45" s="276"/>
      <c r="S45" s="1263">
        <f>INDEX(PT_DIFFERENTIATION_NUM_NTAR,MATCH(A45,PT_DIFFERENTIATION_NTAR_ID,0))</f>
        <v>0</v>
      </c>
      <c r="T45" s="212" t="s">
        <v>119</v>
      </c>
      <c r="U45" s="214"/>
      <c r="V45" s="2037"/>
      <c r="W45" s="2037"/>
      <c r="X45" s="2037"/>
      <c r="Y45" s="2037"/>
      <c r="Z45" s="2037"/>
      <c r="AA45" s="2038"/>
      <c r="AB45" s="2036" t="str">
        <f>INDEX(PT_DIFFERENTIATION_NTAR,MATCH(A45,PT_DIFFERENTIATION_NTAR_ID,0))</f>
        <v/>
      </c>
      <c r="AC45" s="2037"/>
      <c r="AD45" s="2037"/>
      <c r="AE45" s="2037"/>
      <c r="AF45" s="2037"/>
      <c r="AG45" s="2037"/>
      <c r="AH45" s="2037"/>
      <c r="AI45" s="2037"/>
      <c r="AJ45" s="2037"/>
      <c r="AK45" s="2037"/>
      <c r="AL45" s="2037"/>
      <c r="AM45" s="2037"/>
      <c r="AN45" s="2037"/>
      <c r="AO45" s="2037"/>
      <c r="AP45" s="2037"/>
      <c r="AQ45" s="2037"/>
      <c r="AR45" s="2037"/>
      <c r="AS45" s="2037"/>
      <c r="AT45" s="2038"/>
      <c r="AU45" s="11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6"/>
      <c r="AX45" s="426" t="str">
        <f t="shared" ref="AX45:AX51" si="2">IF(T45="","",T45)</f>
        <v>Наименование тарифа</v>
      </c>
      <c r="AY45" s="426"/>
      <c r="AZ45" s="426"/>
    </row>
    <row r="46" spans="1:52" ht="21" customHeight="1">
      <c r="A46" s="1289" t="s">
        <v>194</v>
      </c>
      <c r="B46" s="1289" t="s">
        <v>195</v>
      </c>
      <c r="C46" s="1289"/>
      <c r="D46" s="1289"/>
      <c r="E46" s="2043"/>
      <c r="F46" s="2042">
        <v>1</v>
      </c>
      <c r="G46" s="1289"/>
      <c r="H46" s="1289"/>
      <c r="I46" s="1289"/>
      <c r="J46" s="1289"/>
      <c r="K46" s="1289"/>
      <c r="L46" s="1290"/>
      <c r="M46" s="1291"/>
      <c r="N46" s="1291"/>
      <c r="O46" s="1291"/>
      <c r="P46" s="1336"/>
      <c r="Q46" s="1337"/>
      <c r="R46" s="274"/>
      <c r="S46" s="1263" t="str">
        <f>INDEX(PT_DIFFERENTIATION_NUM_TER,MATCH(B46,PT_DIFFERENTIATION_TER_ID,0))</f>
        <v>.</v>
      </c>
      <c r="T46" s="224" t="s">
        <v>472</v>
      </c>
      <c r="U46" s="214"/>
      <c r="V46" s="2037"/>
      <c r="W46" s="2037"/>
      <c r="X46" s="2037"/>
      <c r="Y46" s="2037"/>
      <c r="Z46" s="2037"/>
      <c r="AA46" s="2038"/>
      <c r="AB46" s="2036" t="str">
        <f>INDEX(PT_DIFFERENTIATION_TER,MATCH(B46,PT_DIFFERENTIATION_TER_ID,0))</f>
        <v/>
      </c>
      <c r="AC46" s="2037"/>
      <c r="AD46" s="2037"/>
      <c r="AE46" s="2037"/>
      <c r="AF46" s="2037"/>
      <c r="AG46" s="2037"/>
      <c r="AH46" s="2037"/>
      <c r="AI46" s="2037"/>
      <c r="AJ46" s="2037"/>
      <c r="AK46" s="2037"/>
      <c r="AL46" s="2037"/>
      <c r="AM46" s="2037"/>
      <c r="AN46" s="2037"/>
      <c r="AO46" s="2037"/>
      <c r="AP46" s="2037"/>
      <c r="AQ46" s="2037"/>
      <c r="AR46" s="2037"/>
      <c r="AS46" s="2037"/>
      <c r="AT46" s="2038"/>
      <c r="AU46" s="1187" t="s">
        <v>473</v>
      </c>
      <c r="AW46" s="426"/>
      <c r="AX46" s="426" t="str">
        <f t="shared" si="2"/>
        <v>Территория действия тарифа</v>
      </c>
      <c r="AY46" s="426"/>
      <c r="AZ46" s="426"/>
    </row>
    <row r="47" spans="1:52" ht="23.25" customHeight="1">
      <c r="A47" s="1289" t="s">
        <v>194</v>
      </c>
      <c r="B47" s="1289" t="s">
        <v>195</v>
      </c>
      <c r="C47" s="1289" t="s">
        <v>196</v>
      </c>
      <c r="D47" s="1289"/>
      <c r="E47" s="2043"/>
      <c r="F47" s="2043"/>
      <c r="G47" s="2042">
        <v>1</v>
      </c>
      <c r="H47" s="1289"/>
      <c r="I47" s="1289"/>
      <c r="J47" s="1289"/>
      <c r="K47" s="1289"/>
      <c r="L47" s="1290"/>
      <c r="M47" s="1291"/>
      <c r="N47" s="1291"/>
      <c r="O47" s="1291"/>
      <c r="P47" s="1338"/>
      <c r="Q47" s="1337"/>
      <c r="R47" s="274"/>
      <c r="S47" s="1263" t="str">
        <f>INDEX(PT_DIFFERENTIATION_NUM_CS,MATCH(C47,PT_DIFFERENTIATION_CS_ID,0))</f>
        <v>..</v>
      </c>
      <c r="T47" s="225" t="s">
        <v>474</v>
      </c>
      <c r="U47" s="214"/>
      <c r="V47" s="2037"/>
      <c r="W47" s="2037"/>
      <c r="X47" s="2037"/>
      <c r="Y47" s="2037"/>
      <c r="Z47" s="2037"/>
      <c r="AA47" s="2038"/>
      <c r="AB47" s="2036" t="str">
        <f>INDEX(PT_DIFFERENTIATION_CS,MATCH(C47,PT_DIFFERENTIATION_CS_ID,0))</f>
        <v/>
      </c>
      <c r="AC47" s="2037"/>
      <c r="AD47" s="2037"/>
      <c r="AE47" s="2037"/>
      <c r="AF47" s="2037"/>
      <c r="AG47" s="2037"/>
      <c r="AH47" s="2037"/>
      <c r="AI47" s="2037"/>
      <c r="AJ47" s="2037"/>
      <c r="AK47" s="2037"/>
      <c r="AL47" s="2037"/>
      <c r="AM47" s="2037"/>
      <c r="AN47" s="2037"/>
      <c r="AO47" s="2037"/>
      <c r="AP47" s="2037"/>
      <c r="AQ47" s="2037"/>
      <c r="AR47" s="2037"/>
      <c r="AS47" s="2037"/>
      <c r="AT47" s="2038"/>
      <c r="AU47" s="1187" t="s">
        <v>475</v>
      </c>
      <c r="AW47" s="426"/>
      <c r="AX47" s="426" t="str">
        <f t="shared" si="2"/>
        <v xml:space="preserve">Наименование системы теплоснабжения </v>
      </c>
      <c r="AY47" s="426"/>
      <c r="AZ47" s="426"/>
    </row>
    <row r="48" spans="1:52" ht="21" customHeight="1">
      <c r="A48" s="1289" t="s">
        <v>194</v>
      </c>
      <c r="B48" s="1289" t="s">
        <v>195</v>
      </c>
      <c r="C48" s="1289" t="s">
        <v>196</v>
      </c>
      <c r="D48" s="1289" t="s">
        <v>197</v>
      </c>
      <c r="E48" s="2043"/>
      <c r="F48" s="2043"/>
      <c r="G48" s="2043"/>
      <c r="H48" s="2042">
        <v>1</v>
      </c>
      <c r="I48" s="1289"/>
      <c r="J48" s="1289"/>
      <c r="K48" s="1289"/>
      <c r="L48" s="1290"/>
      <c r="M48" s="1291"/>
      <c r="N48" s="1291"/>
      <c r="O48" s="1291"/>
      <c r="P48" s="1338"/>
      <c r="Q48" s="1337"/>
      <c r="R48" s="274"/>
      <c r="S48" s="1263" t="str">
        <f>INDEX(PT_DIFFERENTIATION_NUM_IST_TE,MATCH(D48,PT_DIFFERENTIATION_IST_TE_ID,0))</f>
        <v>...</v>
      </c>
      <c r="T48" s="226" t="s">
        <v>476</v>
      </c>
      <c r="U48" s="214"/>
      <c r="V48" s="2037"/>
      <c r="W48" s="2037"/>
      <c r="X48" s="2037"/>
      <c r="Y48" s="2037"/>
      <c r="Z48" s="2037"/>
      <c r="AA48" s="2038"/>
      <c r="AB48" s="2036" t="str">
        <f>INDEX(PT_DIFFERENTIATION_IST_TE,MATCH(D48,PT_DIFFERENTIATION_IST_TE_ID,0))</f>
        <v/>
      </c>
      <c r="AC48" s="2037"/>
      <c r="AD48" s="2037"/>
      <c r="AE48" s="2037"/>
      <c r="AF48" s="2037"/>
      <c r="AG48" s="2037"/>
      <c r="AH48" s="2037"/>
      <c r="AI48" s="2037"/>
      <c r="AJ48" s="2037"/>
      <c r="AK48" s="2037"/>
      <c r="AL48" s="2037"/>
      <c r="AM48" s="2037"/>
      <c r="AN48" s="2037"/>
      <c r="AO48" s="2037"/>
      <c r="AP48" s="2037"/>
      <c r="AQ48" s="2037"/>
      <c r="AR48" s="2037"/>
      <c r="AS48" s="2037"/>
      <c r="AT48" s="2038"/>
      <c r="AU48" s="1187" t="s">
        <v>477</v>
      </c>
      <c r="AW48" s="426"/>
      <c r="AX48" s="426" t="str">
        <f t="shared" si="2"/>
        <v xml:space="preserve">Источник тепловой энергии  </v>
      </c>
      <c r="AY48" s="426"/>
      <c r="AZ48" s="426"/>
    </row>
    <row r="49" spans="1:52" s="1567" customFormat="1" ht="0" hidden="1" customHeight="1">
      <c r="A49" s="1270" t="s">
        <v>194</v>
      </c>
      <c r="B49" s="1270" t="s">
        <v>195</v>
      </c>
      <c r="C49" s="1270" t="s">
        <v>196</v>
      </c>
      <c r="D49" s="1270" t="s">
        <v>197</v>
      </c>
      <c r="E49" s="2043"/>
      <c r="F49" s="2043"/>
      <c r="G49" s="2043"/>
      <c r="H49" s="2043"/>
      <c r="I49" s="2044" t="str">
        <f>S48&amp;".1"</f>
        <v>....1</v>
      </c>
      <c r="J49" s="1270"/>
      <c r="K49" s="1270"/>
      <c r="L49" s="1273" t="s">
        <v>478</v>
      </c>
      <c r="M49" s="436"/>
      <c r="N49" s="436"/>
      <c r="O49" s="436"/>
      <c r="P49" s="1961">
        <v>1</v>
      </c>
      <c r="Q49" s="1258"/>
      <c r="R49" s="277"/>
      <c r="S49" s="958"/>
      <c r="T49" s="1309"/>
      <c r="U49" s="1310"/>
      <c r="V49" s="2072"/>
      <c r="W49" s="2072"/>
      <c r="X49" s="2072"/>
      <c r="Y49" s="2072"/>
      <c r="Z49" s="2072"/>
      <c r="AA49" s="2073"/>
      <c r="AB49" s="2071"/>
      <c r="AC49" s="2072"/>
      <c r="AD49" s="2072"/>
      <c r="AE49" s="2072"/>
      <c r="AF49" s="2072"/>
      <c r="AG49" s="2072"/>
      <c r="AH49" s="2072"/>
      <c r="AI49" s="2072"/>
      <c r="AJ49" s="2072"/>
      <c r="AK49" s="2072"/>
      <c r="AL49" s="2072"/>
      <c r="AM49" s="2072"/>
      <c r="AN49" s="2072"/>
      <c r="AO49" s="2072"/>
      <c r="AP49" s="2072"/>
      <c r="AQ49" s="2072"/>
      <c r="AR49" s="2072"/>
      <c r="AS49" s="2072"/>
      <c r="AT49" s="2073"/>
      <c r="AU49" s="1311"/>
      <c r="AW49" s="426"/>
      <c r="AX49" s="426" t="str">
        <f t="shared" si="2"/>
        <v/>
      </c>
      <c r="AY49" s="426"/>
      <c r="AZ49" s="426"/>
    </row>
    <row r="50" spans="1:52" s="1567" customFormat="1" ht="0" hidden="1" customHeight="1">
      <c r="A50" s="1270" t="s">
        <v>194</v>
      </c>
      <c r="B50" s="1270" t="s">
        <v>195</v>
      </c>
      <c r="C50" s="1270" t="s">
        <v>196</v>
      </c>
      <c r="D50" s="1270" t="s">
        <v>197</v>
      </c>
      <c r="E50" s="2043"/>
      <c r="F50" s="2043"/>
      <c r="G50" s="2043"/>
      <c r="H50" s="2043"/>
      <c r="I50" s="2045"/>
      <c r="J50" s="2044" t="str">
        <f>S48&amp;".1"</f>
        <v>....1</v>
      </c>
      <c r="K50" s="1270"/>
      <c r="L50" s="1273"/>
      <c r="M50" s="436"/>
      <c r="N50" s="436"/>
      <c r="O50" s="436"/>
      <c r="P50" s="1961"/>
      <c r="Q50" s="1961">
        <v>1</v>
      </c>
      <c r="R50" s="278"/>
      <c r="S50" s="958"/>
      <c r="T50" s="1325"/>
      <c r="U50" s="1310"/>
      <c r="V50" s="2072"/>
      <c r="W50" s="2072"/>
      <c r="X50" s="2072"/>
      <c r="Y50" s="2072"/>
      <c r="Z50" s="2072"/>
      <c r="AA50" s="2073"/>
      <c r="AB50" s="2071"/>
      <c r="AC50" s="2072"/>
      <c r="AD50" s="2072"/>
      <c r="AE50" s="2072"/>
      <c r="AF50" s="2072"/>
      <c r="AG50" s="2072"/>
      <c r="AH50" s="2072"/>
      <c r="AI50" s="2072"/>
      <c r="AJ50" s="2072"/>
      <c r="AK50" s="2072"/>
      <c r="AL50" s="2072"/>
      <c r="AM50" s="2072"/>
      <c r="AN50" s="2072"/>
      <c r="AO50" s="2072"/>
      <c r="AP50" s="2072"/>
      <c r="AQ50" s="2072"/>
      <c r="AR50" s="2072"/>
      <c r="AS50" s="2072"/>
      <c r="AT50" s="2073"/>
      <c r="AU50" s="1311"/>
      <c r="AW50" s="426"/>
      <c r="AX50" s="426" t="str">
        <f t="shared" si="2"/>
        <v/>
      </c>
      <c r="AY50" s="426"/>
      <c r="AZ50" s="426"/>
    </row>
    <row r="51" spans="1:52" ht="21" customHeight="1">
      <c r="A51" s="1289" t="s">
        <v>194</v>
      </c>
      <c r="B51" s="1289" t="s">
        <v>195</v>
      </c>
      <c r="C51" s="1289" t="s">
        <v>196</v>
      </c>
      <c r="D51" s="1289" t="s">
        <v>197</v>
      </c>
      <c r="E51" s="2043"/>
      <c r="F51" s="2043"/>
      <c r="G51" s="2043"/>
      <c r="H51" s="2043"/>
      <c r="I51" s="2045"/>
      <c r="J51" s="2045"/>
      <c r="K51" s="2044" t="str">
        <f>S48&amp;".1"</f>
        <v>....1</v>
      </c>
      <c r="L51" s="1290"/>
      <c r="P51" s="1961"/>
      <c r="Q51" s="1961"/>
      <c r="R51" s="278">
        <v>1</v>
      </c>
      <c r="S51" s="2092" t="str">
        <f>$K51</f>
        <v>....1</v>
      </c>
      <c r="T51" s="2089"/>
      <c r="U51" s="214"/>
      <c r="V51" s="669"/>
      <c r="W51" s="1186"/>
      <c r="X51" s="1658"/>
      <c r="Y51" s="1382" t="s">
        <v>58</v>
      </c>
      <c r="Z51" s="1658"/>
      <c r="AA51" s="1382" t="s">
        <v>58</v>
      </c>
      <c r="AB51" s="1850" t="s">
        <v>56</v>
      </c>
      <c r="AC51" s="2088"/>
      <c r="AD51" s="1920">
        <v>1</v>
      </c>
      <c r="AE51" s="2080" t="s">
        <v>18</v>
      </c>
      <c r="AF51" s="1850" t="s">
        <v>56</v>
      </c>
      <c r="AG51" s="2088"/>
      <c r="AH51" s="1920">
        <v>1</v>
      </c>
      <c r="AI51" s="2080" t="s">
        <v>18</v>
      </c>
      <c r="AJ51" s="1850" t="s">
        <v>56</v>
      </c>
      <c r="AK51" s="227"/>
      <c r="AL51" s="1264">
        <v>1</v>
      </c>
      <c r="AM51" s="1328"/>
      <c r="AN51" s="669"/>
      <c r="AO51" s="1186"/>
      <c r="AP51" s="1658"/>
      <c r="AQ51" s="1382" t="s">
        <v>58</v>
      </c>
      <c r="AR51" s="1658"/>
      <c r="AS51" s="1382" t="s">
        <v>58</v>
      </c>
      <c r="AT51" s="1275"/>
      <c r="AU51" s="2064" t="s">
        <v>565</v>
      </c>
      <c r="AV51" s="437" t="e">
        <f ca="1">STRCHECKDATE(V54:AT54)</f>
        <v>#NAME?</v>
      </c>
      <c r="AW51" s="426"/>
      <c r="AX51" s="426" t="str">
        <f t="shared" si="2"/>
        <v/>
      </c>
      <c r="AY51" s="426"/>
      <c r="AZ51" s="426"/>
    </row>
    <row r="52" spans="1:52" ht="11.25" customHeight="1">
      <c r="A52" s="1289" t="s">
        <v>194</v>
      </c>
      <c r="B52" s="1289"/>
      <c r="C52" s="1289"/>
      <c r="D52" s="1289"/>
      <c r="E52" s="2043"/>
      <c r="F52" s="2043"/>
      <c r="G52" s="2043"/>
      <c r="H52" s="2043"/>
      <c r="I52" s="2045"/>
      <c r="J52" s="2045"/>
      <c r="K52" s="2044"/>
      <c r="L52" s="1290"/>
      <c r="P52" s="1961"/>
      <c r="Q52" s="1961"/>
      <c r="R52" s="278"/>
      <c r="S52" s="2093"/>
      <c r="T52" s="2090"/>
      <c r="U52" s="214"/>
      <c r="V52" s="1319"/>
      <c r="W52" s="1416"/>
      <c r="X52" s="1319"/>
      <c r="Y52" s="1319"/>
      <c r="Z52" s="1319"/>
      <c r="AA52" s="1319"/>
      <c r="AB52" s="1850"/>
      <c r="AC52" s="2088"/>
      <c r="AD52" s="1920"/>
      <c r="AE52" s="2080"/>
      <c r="AF52" s="1850"/>
      <c r="AG52" s="2088"/>
      <c r="AH52" s="1920"/>
      <c r="AI52" s="2080"/>
      <c r="AJ52" s="1850"/>
      <c r="AK52" s="234"/>
      <c r="AL52" s="346"/>
      <c r="AM52" s="345" t="s">
        <v>549</v>
      </c>
      <c r="AN52" s="1319"/>
      <c r="AO52" s="1416"/>
      <c r="AP52" s="1319"/>
      <c r="AQ52" s="1319"/>
      <c r="AR52" s="1319"/>
      <c r="AS52" s="1319"/>
      <c r="AT52" s="1316"/>
      <c r="AU52" s="2065"/>
      <c r="AW52" s="426"/>
      <c r="AX52" s="426"/>
      <c r="AY52" s="426"/>
      <c r="AZ52" s="426"/>
    </row>
    <row r="53" spans="1:52" ht="11.25" customHeight="1">
      <c r="A53" s="1289" t="s">
        <v>194</v>
      </c>
      <c r="B53" s="1289"/>
      <c r="C53" s="1289"/>
      <c r="D53" s="1289"/>
      <c r="E53" s="2043"/>
      <c r="F53" s="2043"/>
      <c r="G53" s="2043"/>
      <c r="H53" s="2043"/>
      <c r="I53" s="2045"/>
      <c r="J53" s="2045"/>
      <c r="K53" s="2044"/>
      <c r="L53" s="1290"/>
      <c r="P53" s="1961"/>
      <c r="Q53" s="1961"/>
      <c r="R53" s="278"/>
      <c r="S53" s="2093"/>
      <c r="T53" s="2090"/>
      <c r="U53" s="214"/>
      <c r="V53" s="1319"/>
      <c r="W53" s="1416"/>
      <c r="X53" s="1319"/>
      <c r="Y53" s="1319"/>
      <c r="Z53" s="1319"/>
      <c r="AA53" s="1319"/>
      <c r="AB53" s="1850"/>
      <c r="AC53" s="2088"/>
      <c r="AD53" s="1920"/>
      <c r="AE53" s="2080"/>
      <c r="AF53" s="1850"/>
      <c r="AG53" s="208"/>
      <c r="AH53" s="345"/>
      <c r="AI53" s="345" t="s">
        <v>550</v>
      </c>
      <c r="AJ53" s="1319"/>
      <c r="AK53" s="1319"/>
      <c r="AL53" s="1319"/>
      <c r="AM53" s="1319"/>
      <c r="AN53" s="1319"/>
      <c r="AO53" s="1416"/>
      <c r="AP53" s="1319"/>
      <c r="AQ53" s="1319"/>
      <c r="AR53" s="1319"/>
      <c r="AS53" s="1319"/>
      <c r="AT53" s="1316"/>
      <c r="AU53" s="2065"/>
      <c r="AW53" s="426"/>
      <c r="AX53" s="426"/>
      <c r="AY53" s="426"/>
      <c r="AZ53" s="426"/>
    </row>
    <row r="54" spans="1:52" ht="11.25" customHeight="1">
      <c r="A54" s="1289" t="s">
        <v>194</v>
      </c>
      <c r="B54" s="1289" t="s">
        <v>195</v>
      </c>
      <c r="C54" s="1289" t="s">
        <v>196</v>
      </c>
      <c r="D54" s="1289" t="s">
        <v>197</v>
      </c>
      <c r="E54" s="2043"/>
      <c r="F54" s="2043"/>
      <c r="G54" s="2043"/>
      <c r="H54" s="2043"/>
      <c r="I54" s="2045"/>
      <c r="J54" s="2045"/>
      <c r="K54" s="2044"/>
      <c r="L54" s="1290"/>
      <c r="P54" s="1961"/>
      <c r="Q54" s="1961"/>
      <c r="R54" s="278"/>
      <c r="S54" s="2094"/>
      <c r="T54" s="2091"/>
      <c r="U54" s="214"/>
      <c r="V54" s="1319"/>
      <c r="W54" s="1320" t="str">
        <f>X51&amp;"-"&amp;Z51</f>
        <v>-</v>
      </c>
      <c r="X54" s="1319"/>
      <c r="Y54" s="1319"/>
      <c r="Z54" s="1319"/>
      <c r="AA54" s="1319"/>
      <c r="AB54" s="1850"/>
      <c r="AC54" s="228"/>
      <c r="AD54" s="230"/>
      <c r="AE54" s="345" t="s">
        <v>551</v>
      </c>
      <c r="AF54" s="1319"/>
      <c r="AG54" s="1319"/>
      <c r="AH54" s="1319"/>
      <c r="AI54" s="1319"/>
      <c r="AJ54" s="1319"/>
      <c r="AK54" s="1319"/>
      <c r="AL54" s="1319"/>
      <c r="AM54" s="1319"/>
      <c r="AN54" s="1319"/>
      <c r="AO54" s="1320" t="str">
        <f>AP51&amp;"-"&amp;AR51</f>
        <v>-</v>
      </c>
      <c r="AP54" s="1319"/>
      <c r="AQ54" s="1319"/>
      <c r="AR54" s="1319"/>
      <c r="AS54" s="1319"/>
      <c r="AT54" s="1276"/>
      <c r="AU54" s="2065"/>
      <c r="AW54" s="426"/>
      <c r="AX54" s="426" t="str">
        <f t="shared" ref="AX54:AX62" si="3">IF(T54="","",T54)</f>
        <v/>
      </c>
      <c r="AY54" s="426"/>
      <c r="AZ54" s="426"/>
    </row>
    <row r="55" spans="1:52" ht="11.25" customHeight="1">
      <c r="A55" s="1289" t="s">
        <v>194</v>
      </c>
      <c r="B55" s="1289" t="s">
        <v>195</v>
      </c>
      <c r="C55" s="1289" t="s">
        <v>196</v>
      </c>
      <c r="D55" s="1289" t="s">
        <v>197</v>
      </c>
      <c r="E55" s="2043"/>
      <c r="F55" s="2043"/>
      <c r="G55" s="2043"/>
      <c r="H55" s="2043"/>
      <c r="I55" s="2045"/>
      <c r="J55" s="2044"/>
      <c r="K55" s="1289"/>
      <c r="L55" s="1290"/>
      <c r="P55" s="1961"/>
      <c r="Q55" s="1961"/>
      <c r="R55" s="277"/>
      <c r="S55" s="1208"/>
      <c r="T55" s="202" t="s">
        <v>552</v>
      </c>
      <c r="U55" s="291"/>
      <c r="V55" s="291"/>
      <c r="W55" s="291"/>
      <c r="X55" s="291"/>
      <c r="Y55" s="291"/>
      <c r="Z55" s="291"/>
      <c r="AA55" s="245"/>
      <c r="AB55" s="1425"/>
      <c r="AC55" s="291"/>
      <c r="AD55" s="291"/>
      <c r="AE55" s="291"/>
      <c r="AF55" s="291"/>
      <c r="AG55" s="291"/>
      <c r="AH55" s="291"/>
      <c r="AI55" s="291"/>
      <c r="AJ55" s="291"/>
      <c r="AK55" s="291"/>
      <c r="AL55" s="291"/>
      <c r="AM55" s="291"/>
      <c r="AN55" s="291"/>
      <c r="AO55" s="291"/>
      <c r="AP55" s="291"/>
      <c r="AQ55" s="291"/>
      <c r="AR55" s="291"/>
      <c r="AS55" s="291"/>
      <c r="AT55" s="245"/>
      <c r="AU55" s="2066"/>
      <c r="AW55" s="426"/>
      <c r="AX55" s="426" t="str">
        <f t="shared" si="3"/>
        <v>Добавить строку</v>
      </c>
      <c r="AY55" s="426"/>
      <c r="AZ55" s="426"/>
    </row>
    <row r="56" spans="1:52" s="1567" customFormat="1" ht="0" hidden="1" customHeight="1">
      <c r="A56" s="1270" t="s">
        <v>194</v>
      </c>
      <c r="B56" s="1270" t="s">
        <v>195</v>
      </c>
      <c r="C56" s="1270" t="s">
        <v>196</v>
      </c>
      <c r="D56" s="1270" t="s">
        <v>197</v>
      </c>
      <c r="E56" s="2043"/>
      <c r="F56" s="2043"/>
      <c r="G56" s="2043"/>
      <c r="H56" s="2043"/>
      <c r="I56" s="2044"/>
      <c r="J56" s="1270"/>
      <c r="K56" s="1270"/>
      <c r="L56" s="1273"/>
      <c r="M56" s="436"/>
      <c r="N56" s="436"/>
      <c r="O56" s="436"/>
      <c r="P56" s="1961"/>
      <c r="Q56" s="1258"/>
      <c r="R56" s="277"/>
      <c r="S56" s="1312"/>
      <c r="T56" s="1313" t="s">
        <v>487</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26"/>
      <c r="AX56" s="426" t="str">
        <f t="shared" si="3"/>
        <v>Добавить группу потребителей</v>
      </c>
      <c r="AY56" s="426"/>
      <c r="AZ56" s="426"/>
    </row>
    <row r="57" spans="1:52" s="1566" customFormat="1" ht="0" hidden="1" customHeight="1">
      <c r="A57" s="1270" t="s">
        <v>194</v>
      </c>
      <c r="B57" s="1270" t="s">
        <v>195</v>
      </c>
      <c r="C57" s="1270" t="s">
        <v>196</v>
      </c>
      <c r="D57" s="1270" t="s">
        <v>197</v>
      </c>
      <c r="E57" s="2043"/>
      <c r="F57" s="2043"/>
      <c r="G57" s="2043"/>
      <c r="H57" s="2042"/>
      <c r="I57" s="1270"/>
      <c r="J57" s="1270"/>
      <c r="K57" s="1270"/>
      <c r="L57" s="1273"/>
      <c r="M57" s="1243"/>
      <c r="N57" s="1243"/>
      <c r="O57" s="444"/>
      <c r="P57" s="308"/>
      <c r="Q57" s="1271"/>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37"/>
      <c r="AW57" s="426"/>
      <c r="AX57" s="426" t="str">
        <f t="shared" si="3"/>
        <v/>
      </c>
      <c r="AY57" s="426"/>
      <c r="AZ57" s="426"/>
    </row>
    <row r="58" spans="1:52" s="1567" customFormat="1" ht="0" hidden="1" customHeight="1">
      <c r="A58" s="1270" t="s">
        <v>194</v>
      </c>
      <c r="B58" s="1270" t="s">
        <v>195</v>
      </c>
      <c r="C58" s="1270" t="s">
        <v>196</v>
      </c>
      <c r="D58" s="1242"/>
      <c r="E58" s="2043"/>
      <c r="F58" s="2043"/>
      <c r="G58" s="2042"/>
      <c r="H58" s="1242"/>
      <c r="I58" s="1242"/>
      <c r="J58" s="1242"/>
      <c r="K58" s="1242"/>
      <c r="L58" s="1266"/>
      <c r="M58" s="1243"/>
      <c r="N58" s="1243"/>
      <c r="P58" s="1244"/>
      <c r="Q58" s="1245"/>
      <c r="R58" s="1244"/>
      <c r="S58" s="1250"/>
      <c r="T58" s="1253" t="s">
        <v>445</v>
      </c>
      <c r="U58" s="1252"/>
      <c r="V58" s="1252"/>
      <c r="W58" s="1252"/>
      <c r="X58" s="1252"/>
      <c r="Y58" s="1252"/>
      <c r="Z58" s="1252"/>
      <c r="AA58" s="1252"/>
      <c r="AB58" s="1252"/>
      <c r="AC58" s="1252"/>
      <c r="AD58" s="1252"/>
      <c r="AE58" s="1252"/>
      <c r="AF58" s="1252"/>
      <c r="AG58" s="1252"/>
      <c r="AH58" s="1252"/>
      <c r="AI58" s="1252"/>
      <c r="AJ58" s="1252"/>
      <c r="AK58" s="1252"/>
      <c r="AL58" s="1252"/>
      <c r="AM58" s="1252"/>
      <c r="AN58" s="1252"/>
      <c r="AO58" s="1252"/>
      <c r="AP58" s="1252"/>
      <c r="AQ58" s="1252"/>
      <c r="AR58" s="1252"/>
      <c r="AS58" s="1252"/>
      <c r="AT58" s="1252"/>
      <c r="AU58" s="1252"/>
      <c r="AW58" s="707"/>
      <c r="AX58" s="707" t="str">
        <f t="shared" si="3"/>
        <v>Добавить источник для дифференциации</v>
      </c>
      <c r="AY58" s="707"/>
      <c r="AZ58" s="707"/>
    </row>
    <row r="59" spans="1:52" s="1567" customFormat="1" ht="0" hidden="1" customHeight="1">
      <c r="A59" s="1270" t="s">
        <v>194</v>
      </c>
      <c r="B59" s="1270" t="s">
        <v>195</v>
      </c>
      <c r="C59" s="1242"/>
      <c r="D59" s="1242"/>
      <c r="E59" s="2043"/>
      <c r="F59" s="2042"/>
      <c r="G59" s="1242"/>
      <c r="H59" s="1242"/>
      <c r="I59" s="1242"/>
      <c r="J59" s="1242"/>
      <c r="K59" s="1242"/>
      <c r="L59" s="1266"/>
      <c r="M59" s="1249"/>
      <c r="N59" s="1249"/>
      <c r="P59" s="1244"/>
      <c r="Q59" s="1245"/>
      <c r="R59" s="1244"/>
      <c r="S59" s="1250"/>
      <c r="T59" s="1253" t="s">
        <v>446</v>
      </c>
      <c r="U59" s="1252"/>
      <c r="V59" s="1252"/>
      <c r="W59" s="1252"/>
      <c r="X59" s="1252"/>
      <c r="Y59" s="1252"/>
      <c r="Z59" s="1252"/>
      <c r="AA59" s="1252"/>
      <c r="AB59" s="1252"/>
      <c r="AC59" s="1252"/>
      <c r="AD59" s="1252"/>
      <c r="AE59" s="1252"/>
      <c r="AF59" s="1252"/>
      <c r="AG59" s="1252"/>
      <c r="AH59" s="1252"/>
      <c r="AI59" s="1252"/>
      <c r="AJ59" s="1252"/>
      <c r="AK59" s="1252"/>
      <c r="AL59" s="1252"/>
      <c r="AM59" s="1252"/>
      <c r="AN59" s="1252"/>
      <c r="AO59" s="1252"/>
      <c r="AP59" s="1252"/>
      <c r="AQ59" s="1252"/>
      <c r="AR59" s="1252"/>
      <c r="AS59" s="1252"/>
      <c r="AT59" s="1252"/>
      <c r="AU59" s="1252"/>
      <c r="AW59" s="707"/>
      <c r="AX59" s="707" t="str">
        <f t="shared" si="3"/>
        <v>Добавить централизованную систему для дифференциации</v>
      </c>
      <c r="AY59" s="707"/>
      <c r="AZ59" s="707"/>
    </row>
    <row r="60" spans="1:52" s="1567" customFormat="1" ht="0" hidden="1" customHeight="1">
      <c r="A60" s="1270" t="s">
        <v>194</v>
      </c>
      <c r="B60" s="1270"/>
      <c r="C60" s="1270"/>
      <c r="D60" s="1270"/>
      <c r="E60" s="2043"/>
      <c r="F60" s="1270"/>
      <c r="G60" s="1270"/>
      <c r="H60" s="1270"/>
      <c r="I60" s="1270"/>
      <c r="J60" s="1270"/>
      <c r="K60" s="1270"/>
      <c r="L60" s="1273"/>
      <c r="M60" s="1249"/>
      <c r="N60" s="1249"/>
      <c r="O60" s="444"/>
      <c r="P60" s="308"/>
      <c r="Q60" s="1271"/>
      <c r="R60" s="308"/>
      <c r="S60" s="1250"/>
      <c r="T60" s="1253" t="s">
        <v>447</v>
      </c>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W60" s="426"/>
      <c r="AX60" s="426" t="str">
        <f t="shared" si="3"/>
        <v>Добавить территорию для дифференциации</v>
      </c>
      <c r="AY60" s="426"/>
      <c r="AZ60" s="426"/>
    </row>
    <row r="61" spans="1:52" s="1567" customFormat="1" ht="0" hidden="1" customHeight="1">
      <c r="A61" s="1270" t="s">
        <v>194</v>
      </c>
      <c r="B61" s="1270"/>
      <c r="C61" s="1270"/>
      <c r="D61" s="1270"/>
      <c r="E61" s="2042"/>
      <c r="F61" s="1270"/>
      <c r="G61" s="1270"/>
      <c r="H61" s="1270"/>
      <c r="I61" s="1270"/>
      <c r="J61" s="1270"/>
      <c r="K61" s="1270"/>
      <c r="L61" s="1273"/>
      <c r="M61" s="1249"/>
      <c r="N61" s="1249"/>
      <c r="O61" s="444"/>
      <c r="P61" s="308"/>
      <c r="Q61" s="1271"/>
      <c r="R61" s="308"/>
      <c r="S61" s="1250"/>
      <c r="T61" s="1253" t="s">
        <v>447</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W61" s="426"/>
      <c r="AX61" s="426" t="str">
        <f t="shared" si="3"/>
        <v>Добавить территорию для дифференциации</v>
      </c>
      <c r="AY61" s="426"/>
      <c r="AZ61" s="426"/>
    </row>
    <row r="62" spans="1:52" s="1567" customFormat="1" ht="0" hidden="1" customHeight="1">
      <c r="A62" s="1242"/>
      <c r="B62" s="1242"/>
      <c r="C62" s="1242"/>
      <c r="D62" s="1242"/>
      <c r="E62" s="1270"/>
      <c r="F62" s="1242"/>
      <c r="G62" s="1242"/>
      <c r="H62" s="1242"/>
      <c r="I62" s="1242"/>
      <c r="J62" s="1242"/>
      <c r="K62" s="1242"/>
      <c r="L62" s="1266"/>
      <c r="M62" s="1249"/>
      <c r="N62" s="1249"/>
      <c r="P62" s="1244"/>
      <c r="Q62" s="1245"/>
      <c r="R62" s="1244"/>
      <c r="S62" s="1250"/>
      <c r="T62" s="1253" t="s">
        <v>448</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W62" s="707"/>
      <c r="AX62" s="707" t="str">
        <f t="shared" si="3"/>
        <v>Добавить наименование тарифа</v>
      </c>
      <c r="AY62" s="707"/>
      <c r="AZ62" s="707"/>
    </row>
    <row r="63" spans="1:52" ht="11.25" hidden="1" customHeight="1">
      <c r="M63" s="1070"/>
      <c r="N63" s="1070"/>
      <c r="O63" s="462"/>
      <c r="P63" s="1070"/>
      <c r="Q63" s="1070"/>
      <c r="R63" s="1065"/>
      <c r="S63" s="1065"/>
      <c r="AV63" s="1065"/>
      <c r="AW63" s="1065"/>
      <c r="AX63" s="1065"/>
      <c r="AY63" s="1065"/>
      <c r="AZ63" s="1065"/>
    </row>
    <row r="64" spans="1:52" ht="18.75" hidden="1" customHeight="1">
      <c r="O64" s="462"/>
      <c r="S64" s="1174" t="s">
        <v>520</v>
      </c>
      <c r="T64" s="2041" t="s">
        <v>566</v>
      </c>
      <c r="U64" s="2041"/>
      <c r="V64" s="2041"/>
      <c r="W64" s="2041"/>
      <c r="X64" s="2041"/>
      <c r="Y64" s="2041"/>
      <c r="Z64" s="2041"/>
      <c r="AA64" s="2041"/>
      <c r="AB64" s="2041"/>
      <c r="AC64" s="2041"/>
      <c r="AD64" s="2041"/>
      <c r="AE64" s="2041"/>
      <c r="AF64" s="2041"/>
      <c r="AG64" s="2041"/>
      <c r="AH64" s="2041"/>
      <c r="AI64" s="2041"/>
      <c r="AJ64" s="2041"/>
      <c r="AK64" s="2041"/>
      <c r="AL64" s="2041"/>
      <c r="AM64" s="2041"/>
      <c r="AN64" s="2041"/>
      <c r="AO64" s="2041"/>
      <c r="AP64" s="2041"/>
      <c r="AQ64" s="2041"/>
      <c r="AR64" s="2041"/>
      <c r="AS64" s="2041"/>
      <c r="AT64" s="2041"/>
      <c r="AU64" s="2041"/>
    </row>
    <row r="65" spans="15:47" ht="19.5" hidden="1" customHeight="1">
      <c r="O65" s="462"/>
      <c r="T65" s="2041" t="s">
        <v>546</v>
      </c>
      <c r="U65" s="2041"/>
      <c r="V65" s="2041"/>
      <c r="W65" s="2041"/>
      <c r="X65" s="2041"/>
      <c r="Y65" s="2041"/>
      <c r="Z65" s="2041"/>
      <c r="AA65" s="2041"/>
      <c r="AB65" s="2041"/>
      <c r="AC65" s="2041"/>
      <c r="AD65" s="2041"/>
      <c r="AE65" s="2041"/>
      <c r="AF65" s="2041"/>
      <c r="AG65" s="2041"/>
      <c r="AH65" s="2041"/>
      <c r="AI65" s="2041"/>
      <c r="AJ65" s="2041"/>
      <c r="AK65" s="2041"/>
      <c r="AL65" s="2041"/>
      <c r="AM65" s="2041"/>
      <c r="AN65" s="2041"/>
      <c r="AO65" s="2041"/>
      <c r="AP65" s="2041"/>
      <c r="AQ65" s="2041"/>
      <c r="AR65" s="2041"/>
      <c r="AS65" s="2041"/>
      <c r="AT65" s="2041"/>
      <c r="AU65" s="2041"/>
    </row>
    <row r="66" spans="15:47" ht="14.25" hidden="1" customHeight="1">
      <c r="O66" s="462"/>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row>
    <row r="67" spans="15:47" ht="18.75" hidden="1" customHeight="1">
      <c r="O67" s="462"/>
      <c r="T67" s="2041" t="s">
        <v>567</v>
      </c>
      <c r="U67" s="2041"/>
      <c r="V67" s="2041"/>
      <c r="W67" s="2041"/>
      <c r="X67" s="2041"/>
      <c r="Y67" s="2041"/>
      <c r="Z67" s="2041"/>
      <c r="AA67" s="2041"/>
      <c r="AB67" s="2041"/>
      <c r="AC67" s="2041"/>
      <c r="AD67" s="2041"/>
      <c r="AE67" s="2041"/>
      <c r="AF67" s="2041"/>
      <c r="AG67" s="2041"/>
      <c r="AH67" s="2041"/>
      <c r="AI67" s="2041"/>
      <c r="AJ67" s="2041"/>
      <c r="AK67" s="2041"/>
      <c r="AL67" s="2041"/>
      <c r="AM67" s="2041"/>
      <c r="AN67" s="2041"/>
      <c r="AO67" s="2041"/>
      <c r="AP67" s="2041"/>
      <c r="AQ67" s="2041"/>
      <c r="AR67" s="2041"/>
      <c r="AS67" s="2041"/>
      <c r="AT67" s="2041"/>
      <c r="AU67" s="2041"/>
    </row>
    <row r="68" spans="15:47" ht="15.75" hidden="1" customHeight="1">
      <c r="O68" s="462"/>
      <c r="T68" s="2041" t="s">
        <v>546</v>
      </c>
      <c r="U68" s="2041"/>
      <c r="V68" s="2041"/>
      <c r="W68" s="2041"/>
      <c r="X68" s="2041"/>
      <c r="Y68" s="2041"/>
      <c r="Z68" s="2041"/>
      <c r="AA68" s="2041"/>
      <c r="AB68" s="2041"/>
      <c r="AC68" s="2041"/>
      <c r="AD68" s="2041"/>
      <c r="AE68" s="2041"/>
      <c r="AF68" s="2041"/>
      <c r="AG68" s="2041"/>
      <c r="AH68" s="2041"/>
      <c r="AI68" s="2041"/>
      <c r="AJ68" s="2041"/>
      <c r="AK68" s="2041"/>
      <c r="AL68" s="2041"/>
      <c r="AM68" s="2041"/>
      <c r="AN68" s="2041"/>
      <c r="AO68" s="2041"/>
      <c r="AP68" s="2041"/>
      <c r="AQ68" s="2041"/>
      <c r="AR68" s="2041"/>
      <c r="AS68" s="2041"/>
      <c r="AT68" s="2041"/>
      <c r="AU68" s="2041"/>
    </row>
    <row r="69" spans="15:47" ht="14.25" customHeight="1">
      <c r="O69" s="462"/>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14" customWidth="1"/>
    <col min="2" max="2" width="11" style="1796" customWidth="1"/>
    <col min="3" max="3" width="9.09765625" style="1796"/>
    <col min="4" max="4" width="26.59765625" style="1796" customWidth="1"/>
    <col min="5" max="5" width="27.69921875" style="1751" customWidth="1"/>
    <col min="6" max="6" width="23.59765625" style="1751" customWidth="1"/>
    <col min="7" max="7" width="31.3984375" style="1751" customWidth="1"/>
    <col min="8" max="8" width="40.796875" style="1751" customWidth="1"/>
    <col min="9" max="9" width="14.59765625" style="1751" customWidth="1"/>
    <col min="10" max="10" width="26.796875" style="1751" customWidth="1"/>
    <col min="11" max="11" width="50" style="1751" customWidth="1"/>
    <col min="12" max="13" width="10.69921875" style="1751" customWidth="1"/>
    <col min="14" max="14" width="55.09765625" style="1751" customWidth="1"/>
    <col min="15" max="15" width="31.796875" style="1751" customWidth="1"/>
    <col min="16" max="16" width="23.796875" style="1751" customWidth="1"/>
    <col min="17" max="17" width="46.59765625" style="1751" customWidth="1"/>
    <col min="18" max="18" width="24" style="1751" customWidth="1"/>
    <col min="19" max="19" width="20.59765625" style="1751" customWidth="1"/>
    <col min="20" max="20" width="22" style="1751" customWidth="1"/>
    <col min="21" max="22" width="26.3984375" style="1751" customWidth="1"/>
    <col min="23" max="23" width="8.296875" style="1751" hidden="1" customWidth="1"/>
    <col min="24" max="24" width="59.69921875" style="1751" customWidth="1"/>
    <col min="25" max="25" width="49.09765625" style="1751" customWidth="1"/>
    <col min="26" max="26" width="11.09765625" style="1751" customWidth="1"/>
    <col min="27" max="30" width="29" style="1751" customWidth="1"/>
    <col min="31" max="31" width="9.09765625" style="1751"/>
    <col min="32" max="32" width="34.69921875" style="1751" customWidth="1"/>
    <col min="33" max="33" width="9.09765625" style="1751"/>
    <col min="34" max="35" width="34.3984375" style="1751" customWidth="1"/>
    <col min="36" max="36" width="9.09765625" style="1751"/>
    <col min="37" max="37" width="24.59765625" style="1751" customWidth="1"/>
    <col min="38" max="38" width="9.09765625" style="1751"/>
    <col min="39" max="39" width="26.09765625" style="1751" customWidth="1"/>
    <col min="40" max="40" width="1.69921875" style="1751" customWidth="1"/>
    <col min="41" max="41" width="9.09765625" style="1751"/>
    <col min="42" max="43" width="47.796875" style="1751" customWidth="1"/>
    <col min="44" max="44" width="1.69921875" style="1751" customWidth="1"/>
    <col min="45" max="45" width="21.3984375" style="1751" customWidth="1"/>
    <col min="46" max="46" width="1.69921875" style="1751" customWidth="1"/>
    <col min="47" max="47" width="31.296875" style="1751" customWidth="1"/>
    <col min="48" max="48" width="1.69921875" style="1751" customWidth="1"/>
    <col min="49" max="50" width="9.09765625" style="1751"/>
    <col min="51" max="51" width="3.69921875" style="1751" customWidth="1"/>
    <col min="52" max="52" width="55" style="1751" customWidth="1"/>
    <col min="53" max="53" width="9.09765625" style="1751"/>
    <col min="54" max="54" width="35.09765625" style="1751" customWidth="1"/>
    <col min="55" max="55" width="9.09765625" style="1751"/>
    <col min="56" max="56" width="1.69921875" style="1751" customWidth="1"/>
    <col min="57" max="57" width="12.59765625" style="1180" customWidth="1"/>
    <col min="58" max="58" width="14.296875" style="1180" customWidth="1"/>
    <col min="59" max="59" width="30.69921875" style="1751" customWidth="1"/>
    <col min="60" max="60" width="40.69921875" style="1768" customWidth="1"/>
    <col min="61" max="61" width="15" style="1768" customWidth="1"/>
    <col min="62" max="62" width="40.69921875" style="1768" customWidth="1"/>
    <col min="63" max="63" width="2.69921875" style="1768" customWidth="1"/>
    <col min="64" max="64" width="44.69921875" style="1768" customWidth="1"/>
    <col min="65" max="65" width="2.69921875" style="1768" customWidth="1"/>
    <col min="66" max="66" width="40.69921875" style="1768" customWidth="1"/>
    <col min="67" max="68" width="9.09765625" style="1751"/>
    <col min="69" max="69" width="18.09765625" style="1751" customWidth="1"/>
    <col min="70" max="70" width="57.796875" style="1751" customWidth="1"/>
    <col min="71" max="71" width="1.69921875" style="1751" customWidth="1"/>
    <col min="72" max="72" width="22.59765625" style="1751" customWidth="1"/>
    <col min="73" max="73" width="57.796875" style="1751" customWidth="1"/>
    <col min="74" max="74" width="1.69921875" style="1751" customWidth="1"/>
    <col min="75" max="75" width="22.59765625" style="1751" customWidth="1"/>
    <col min="76" max="76" width="57.796875" style="1751" customWidth="1"/>
    <col min="77" max="77" width="1.69921875" style="1751" customWidth="1"/>
    <col min="78" max="78" width="22.59765625" style="1751" customWidth="1"/>
    <col min="79" max="79" width="57.796875" style="1751" customWidth="1"/>
    <col min="80" max="81" width="9.09765625" style="1751"/>
    <col min="82" max="82" width="49.59765625" style="1751" customWidth="1"/>
  </cols>
  <sheetData>
    <row r="1" spans="1:79" s="1352" customFormat="1" ht="11.25" customHeight="1">
      <c r="A1" s="982" t="s">
        <v>568</v>
      </c>
      <c r="B1" s="982" t="s">
        <v>569</v>
      </c>
      <c r="C1" s="982" t="s">
        <v>570</v>
      </c>
      <c r="D1" s="982" t="s">
        <v>571</v>
      </c>
      <c r="E1" s="982" t="s">
        <v>572</v>
      </c>
      <c r="F1" s="982" t="s">
        <v>573</v>
      </c>
      <c r="G1" s="982" t="s">
        <v>574</v>
      </c>
      <c r="H1" s="982" t="s">
        <v>575</v>
      </c>
      <c r="I1" s="982" t="s">
        <v>576</v>
      </c>
      <c r="J1" s="982" t="s">
        <v>577</v>
      </c>
      <c r="K1" s="982" t="s">
        <v>578</v>
      </c>
      <c r="L1" s="982"/>
      <c r="M1" s="982"/>
      <c r="N1" s="982" t="s">
        <v>579</v>
      </c>
      <c r="O1" s="982" t="s">
        <v>580</v>
      </c>
      <c r="P1" s="982" t="s">
        <v>581</v>
      </c>
      <c r="Q1" s="982" t="s">
        <v>582</v>
      </c>
      <c r="R1" s="982" t="s">
        <v>583</v>
      </c>
      <c r="S1" s="982" t="s">
        <v>584</v>
      </c>
      <c r="T1" s="982" t="s">
        <v>585</v>
      </c>
      <c r="U1" s="982" t="s">
        <v>586</v>
      </c>
      <c r="V1" s="982"/>
      <c r="W1" s="715" t="s">
        <v>587</v>
      </c>
      <c r="X1" s="982" t="s">
        <v>588</v>
      </c>
      <c r="Y1" s="982" t="s">
        <v>589</v>
      </c>
      <c r="Z1" s="982"/>
      <c r="AA1" s="982" t="s">
        <v>590</v>
      </c>
      <c r="AB1" s="982"/>
      <c r="AC1" s="982" t="s">
        <v>591</v>
      </c>
      <c r="AD1" s="982"/>
      <c r="AF1" s="982" t="s">
        <v>592</v>
      </c>
      <c r="AH1" s="982" t="s">
        <v>593</v>
      </c>
      <c r="AI1" s="982" t="s">
        <v>594</v>
      </c>
      <c r="AK1" s="982" t="s">
        <v>595</v>
      </c>
      <c r="AM1" s="982" t="s">
        <v>596</v>
      </c>
      <c r="AP1" s="982" t="s">
        <v>597</v>
      </c>
      <c r="AQ1" s="982" t="s">
        <v>598</v>
      </c>
      <c r="AS1" s="982" t="s">
        <v>599</v>
      </c>
      <c r="AU1" s="982" t="s">
        <v>600</v>
      </c>
      <c r="AW1" s="982" t="s">
        <v>601</v>
      </c>
      <c r="AX1" s="982" t="s">
        <v>602</v>
      </c>
      <c r="AZ1" s="1062" t="s">
        <v>603</v>
      </c>
      <c r="BB1" s="982" t="s">
        <v>604</v>
      </c>
      <c r="BC1" s="982"/>
      <c r="BE1" s="982" t="s">
        <v>605</v>
      </c>
      <c r="BF1" s="982" t="s">
        <v>606</v>
      </c>
      <c r="BH1" s="984" t="s">
        <v>607</v>
      </c>
      <c r="BI1" s="985"/>
      <c r="BJ1" s="986" t="s">
        <v>608</v>
      </c>
      <c r="BK1" s="985"/>
      <c r="BL1" s="987" t="s">
        <v>609</v>
      </c>
      <c r="BM1" s="985"/>
      <c r="BN1" s="988" t="s">
        <v>610</v>
      </c>
    </row>
    <row r="2" spans="1:79" ht="11.25" customHeight="1">
      <c r="A2" s="989" t="s">
        <v>611</v>
      </c>
      <c r="B2" s="990">
        <v>2000</v>
      </c>
      <c r="C2" s="990">
        <v>2022</v>
      </c>
      <c r="D2" s="990" t="s">
        <v>58</v>
      </c>
      <c r="E2" s="991" t="s">
        <v>612</v>
      </c>
      <c r="F2" s="991" t="s">
        <v>613</v>
      </c>
      <c r="G2" s="991" t="s">
        <v>614</v>
      </c>
      <c r="H2" s="992" t="s">
        <v>54</v>
      </c>
      <c r="I2" s="991" t="s">
        <v>105</v>
      </c>
      <c r="J2" s="991" t="s">
        <v>615</v>
      </c>
      <c r="K2" s="993" t="s">
        <v>616</v>
      </c>
      <c r="L2" s="994" t="s">
        <v>616</v>
      </c>
      <c r="M2" s="993">
        <v>1</v>
      </c>
      <c r="N2" s="1072" t="s">
        <v>617</v>
      </c>
      <c r="O2" s="992" t="s">
        <v>618</v>
      </c>
      <c r="P2" s="995" t="s">
        <v>33</v>
      </c>
      <c r="Q2" s="996" t="s">
        <v>619</v>
      </c>
      <c r="R2" s="64" t="s">
        <v>620</v>
      </c>
      <c r="S2" s="64" t="s">
        <v>621</v>
      </c>
      <c r="T2" s="997" t="s">
        <v>622</v>
      </c>
      <c r="U2" s="994" t="s">
        <v>623</v>
      </c>
      <c r="V2" s="998">
        <v>1</v>
      </c>
      <c r="W2" s="999"/>
      <c r="X2" s="999" t="s">
        <v>624</v>
      </c>
      <c r="Y2" s="990" t="s">
        <v>625</v>
      </c>
      <c r="Z2" s="1000"/>
      <c r="AA2" s="990" t="s">
        <v>626</v>
      </c>
      <c r="AB2" s="1001" t="s">
        <v>626</v>
      </c>
      <c r="AC2" s="990" t="s">
        <v>627</v>
      </c>
      <c r="AD2" s="1001" t="s">
        <v>627</v>
      </c>
      <c r="AF2" s="992" t="s">
        <v>623</v>
      </c>
      <c r="AH2" s="991" t="s">
        <v>628</v>
      </c>
      <c r="AI2" s="991" t="s">
        <v>628</v>
      </c>
      <c r="AK2" s="991" t="s">
        <v>629</v>
      </c>
      <c r="AM2" s="991" t="s">
        <v>630</v>
      </c>
      <c r="AP2" s="1002" t="s">
        <v>624</v>
      </c>
      <c r="AQ2" s="1003" t="s">
        <v>624</v>
      </c>
      <c r="AS2" s="990" t="s">
        <v>631</v>
      </c>
      <c r="AU2" s="1033" t="s">
        <v>632</v>
      </c>
      <c r="AW2" s="1033" t="s">
        <v>633</v>
      </c>
      <c r="AX2" s="1033" t="s">
        <v>633</v>
      </c>
      <c r="AZ2" s="1033" t="s">
        <v>634</v>
      </c>
      <c r="BB2" s="1033" t="s">
        <v>635</v>
      </c>
      <c r="BC2" s="1033" t="s">
        <v>636</v>
      </c>
      <c r="BE2" s="1033">
        <v>2000</v>
      </c>
      <c r="BF2" s="1033" t="s">
        <v>637</v>
      </c>
    </row>
    <row r="3" spans="1:79" ht="11.25" customHeight="1">
      <c r="A3" s="989" t="s">
        <v>638</v>
      </c>
      <c r="B3" s="990">
        <v>2001</v>
      </c>
      <c r="C3" s="990">
        <v>2023</v>
      </c>
      <c r="D3" s="990" t="s">
        <v>56</v>
      </c>
      <c r="E3" s="991" t="s">
        <v>639</v>
      </c>
      <c r="F3" s="991" t="s">
        <v>640</v>
      </c>
      <c r="G3" s="991" t="s">
        <v>641</v>
      </c>
      <c r="H3" s="992" t="s">
        <v>642</v>
      </c>
      <c r="I3" s="991" t="s">
        <v>106</v>
      </c>
      <c r="J3" s="991" t="s">
        <v>643</v>
      </c>
      <c r="K3" s="993" t="s">
        <v>644</v>
      </c>
      <c r="L3" s="993" t="s">
        <v>644</v>
      </c>
      <c r="M3" s="993">
        <v>2</v>
      </c>
      <c r="N3" s="1072" t="s">
        <v>645</v>
      </c>
      <c r="O3" s="992" t="s">
        <v>646</v>
      </c>
      <c r="P3" s="995" t="s">
        <v>647</v>
      </c>
      <c r="Q3" s="996" t="s">
        <v>648</v>
      </c>
      <c r="R3" s="64" t="s">
        <v>649</v>
      </c>
      <c r="S3" s="64" t="s">
        <v>650</v>
      </c>
      <c r="T3" s="997" t="s">
        <v>651</v>
      </c>
      <c r="U3" s="994" t="s">
        <v>652</v>
      </c>
      <c r="V3" s="998">
        <v>2</v>
      </c>
      <c r="W3" s="999"/>
      <c r="X3" s="999" t="s">
        <v>653</v>
      </c>
      <c r="Y3" s="990" t="s">
        <v>625</v>
      </c>
      <c r="Z3" s="1000"/>
      <c r="AA3" s="990" t="s">
        <v>654</v>
      </c>
      <c r="AB3" s="1001" t="s">
        <v>654</v>
      </c>
      <c r="AC3" s="990" t="s">
        <v>655</v>
      </c>
      <c r="AD3" s="1001" t="s">
        <v>655</v>
      </c>
      <c r="AF3" s="992" t="s">
        <v>652</v>
      </c>
      <c r="AH3" s="991" t="s">
        <v>656</v>
      </c>
      <c r="AI3" s="991" t="s">
        <v>657</v>
      </c>
      <c r="AK3" s="991" t="s">
        <v>658</v>
      </c>
      <c r="AM3" s="991" t="s">
        <v>659</v>
      </c>
      <c r="AP3" s="1002" t="s">
        <v>660</v>
      </c>
      <c r="AQ3" s="1003" t="s">
        <v>660</v>
      </c>
      <c r="AS3" s="990" t="s">
        <v>661</v>
      </c>
      <c r="AU3" s="1033" t="s">
        <v>662</v>
      </c>
      <c r="AW3" s="1033" t="s">
        <v>663</v>
      </c>
      <c r="AX3" s="1033" t="s">
        <v>663</v>
      </c>
      <c r="AZ3" s="1033" t="s">
        <v>664</v>
      </c>
      <c r="BB3" s="1033" t="s">
        <v>665</v>
      </c>
      <c r="BC3" s="1033" t="s">
        <v>636</v>
      </c>
      <c r="BE3" s="1033">
        <v>2001</v>
      </c>
      <c r="BF3" s="1033" t="s">
        <v>666</v>
      </c>
      <c r="BH3" s="982" t="s">
        <v>667</v>
      </c>
      <c r="BJ3" s="982" t="s">
        <v>668</v>
      </c>
      <c r="BL3" s="982" t="s">
        <v>669</v>
      </c>
      <c r="BN3" s="982" t="s">
        <v>670</v>
      </c>
      <c r="BR3" s="982" t="s">
        <v>671</v>
      </c>
      <c r="BS3" s="1353"/>
      <c r="BT3" s="985"/>
      <c r="BU3" s="982" t="s">
        <v>672</v>
      </c>
      <c r="BV3" s="985"/>
      <c r="BW3"/>
      <c r="BX3" s="1616" t="s">
        <v>673</v>
      </c>
      <c r="CA3" s="982" t="s">
        <v>674</v>
      </c>
    </row>
    <row r="4" spans="1:79" ht="11.25" customHeight="1">
      <c r="A4" s="989" t="s">
        <v>675</v>
      </c>
      <c r="B4" s="990">
        <v>2002</v>
      </c>
      <c r="C4" s="990">
        <v>2024</v>
      </c>
      <c r="E4" s="991" t="s">
        <v>676</v>
      </c>
      <c r="F4" s="991" t="s">
        <v>677</v>
      </c>
      <c r="H4" s="992" t="s">
        <v>678</v>
      </c>
      <c r="I4" s="991" t="s">
        <v>89</v>
      </c>
      <c r="J4" s="991" t="s">
        <v>679</v>
      </c>
      <c r="K4" s="993" t="s">
        <v>680</v>
      </c>
      <c r="L4" s="993" t="s">
        <v>680</v>
      </c>
      <c r="M4" s="993">
        <v>3</v>
      </c>
      <c r="N4" s="1072" t="s">
        <v>681</v>
      </c>
      <c r="O4" s="991" t="s">
        <v>682</v>
      </c>
      <c r="Q4" s="996" t="s">
        <v>683</v>
      </c>
      <c r="R4" s="64" t="s">
        <v>684</v>
      </c>
      <c r="S4" s="64" t="s">
        <v>685</v>
      </c>
      <c r="T4" s="997" t="s">
        <v>686</v>
      </c>
      <c r="U4" s="994" t="s">
        <v>687</v>
      </c>
      <c r="V4" s="998">
        <v>3</v>
      </c>
      <c r="W4" s="999"/>
      <c r="X4" s="999" t="s">
        <v>688</v>
      </c>
      <c r="Y4" s="990" t="s">
        <v>625</v>
      </c>
      <c r="Z4" s="1005"/>
      <c r="AC4" s="990" t="s">
        <v>689</v>
      </c>
      <c r="AD4" s="1001" t="s">
        <v>689</v>
      </c>
      <c r="AF4" s="992" t="s">
        <v>687</v>
      </c>
      <c r="AH4" s="992" t="s">
        <v>690</v>
      </c>
      <c r="AK4" s="991" t="s">
        <v>691</v>
      </c>
      <c r="AM4" s="991" t="s">
        <v>692</v>
      </c>
      <c r="AP4" s="1002" t="s">
        <v>653</v>
      </c>
      <c r="AQ4" s="1003" t="s">
        <v>653</v>
      </c>
      <c r="AS4" s="990" t="s">
        <v>693</v>
      </c>
      <c r="AU4" s="1033" t="s">
        <v>694</v>
      </c>
      <c r="AW4" s="1033" t="s">
        <v>695</v>
      </c>
      <c r="AX4" s="1033" t="s">
        <v>695</v>
      </c>
      <c r="AZ4" s="1033" t="s">
        <v>696</v>
      </c>
      <c r="BB4" s="1033" t="s">
        <v>697</v>
      </c>
      <c r="BC4" s="1033" t="s">
        <v>698</v>
      </c>
      <c r="BE4" s="1033">
        <v>2002</v>
      </c>
      <c r="BF4" s="1033" t="s">
        <v>699</v>
      </c>
      <c r="BH4" s="983" t="s">
        <v>700</v>
      </c>
      <c r="BJ4" s="983" t="s">
        <v>700</v>
      </c>
      <c r="BL4" s="983" t="s">
        <v>700</v>
      </c>
      <c r="BN4" s="983" t="s">
        <v>700</v>
      </c>
      <c r="BQ4" s="1357" t="s">
        <v>701</v>
      </c>
      <c r="BR4" s="1069" t="s">
        <v>702</v>
      </c>
      <c r="BS4" s="189"/>
      <c r="BT4" s="1357" t="s">
        <v>703</v>
      </c>
      <c r="BU4" s="1069" t="s">
        <v>704</v>
      </c>
      <c r="BV4" s="985"/>
      <c r="BW4" s="1621" t="s">
        <v>705</v>
      </c>
      <c r="BX4" s="1615" t="s">
        <v>706</v>
      </c>
      <c r="BZ4" s="1357" t="s">
        <v>707</v>
      </c>
      <c r="CA4" s="1069" t="s">
        <v>708</v>
      </c>
    </row>
    <row r="5" spans="1:79" ht="11.25" customHeight="1">
      <c r="A5" s="989" t="s">
        <v>709</v>
      </c>
      <c r="B5" s="990">
        <v>2003</v>
      </c>
      <c r="C5" s="990">
        <v>2025</v>
      </c>
      <c r="E5" s="991" t="s">
        <v>710</v>
      </c>
      <c r="F5" s="991" t="s">
        <v>711</v>
      </c>
      <c r="H5" s="992" t="s">
        <v>712</v>
      </c>
      <c r="I5" s="991" t="s">
        <v>90</v>
      </c>
      <c r="K5" s="993" t="s">
        <v>713</v>
      </c>
      <c r="L5" s="993" t="s">
        <v>713</v>
      </c>
      <c r="M5" s="993">
        <v>4</v>
      </c>
      <c r="N5" s="1006" t="s">
        <v>714</v>
      </c>
      <c r="O5" s="991" t="s">
        <v>715</v>
      </c>
      <c r="Q5" s="996" t="s">
        <v>716</v>
      </c>
      <c r="R5" s="64" t="s">
        <v>717</v>
      </c>
      <c r="T5" s="992" t="s">
        <v>718</v>
      </c>
      <c r="U5" s="994" t="s">
        <v>719</v>
      </c>
      <c r="V5" s="998">
        <v>4</v>
      </c>
      <c r="W5" s="999"/>
      <c r="X5" s="999" t="s">
        <v>162</v>
      </c>
      <c r="Y5" s="990" t="s">
        <v>720</v>
      </c>
      <c r="Z5" s="1005">
        <v>1</v>
      </c>
      <c r="AF5" s="992" t="s">
        <v>721</v>
      </c>
      <c r="AH5" s="991" t="s">
        <v>722</v>
      </c>
      <c r="AK5" s="991" t="s">
        <v>723</v>
      </c>
      <c r="AM5" s="991" t="s">
        <v>724</v>
      </c>
      <c r="AP5" s="1002" t="s">
        <v>162</v>
      </c>
      <c r="AQ5" s="1003" t="s">
        <v>162</v>
      </c>
      <c r="AU5" s="1033" t="s">
        <v>725</v>
      </c>
      <c r="AW5" s="1033" t="s">
        <v>726</v>
      </c>
      <c r="AX5" s="1033" t="s">
        <v>726</v>
      </c>
      <c r="AZ5" s="1033" t="s">
        <v>727</v>
      </c>
      <c r="BB5" s="1033" t="s">
        <v>728</v>
      </c>
      <c r="BC5" s="1033" t="s">
        <v>729</v>
      </c>
      <c r="BE5" s="1033">
        <v>2003</v>
      </c>
      <c r="BF5" s="1033" t="s">
        <v>730</v>
      </c>
      <c r="BH5" s="983" t="s">
        <v>731</v>
      </c>
      <c r="BJ5" s="983" t="s">
        <v>731</v>
      </c>
      <c r="BL5" s="983" t="s">
        <v>731</v>
      </c>
      <c r="BN5" s="983" t="s">
        <v>732</v>
      </c>
      <c r="BQ5" s="1211">
        <v>4213775</v>
      </c>
      <c r="BR5" s="983" t="s">
        <v>624</v>
      </c>
      <c r="BS5" s="1354"/>
      <c r="BT5" s="1211">
        <v>64236871</v>
      </c>
      <c r="BU5" s="983" t="s">
        <v>211</v>
      </c>
      <c r="BV5" s="985"/>
      <c r="BW5" s="1619">
        <v>4213767</v>
      </c>
      <c r="BX5" s="1617" t="s">
        <v>733</v>
      </c>
      <c r="BZ5" s="1211">
        <v>64237509</v>
      </c>
      <c r="CA5" s="1224" t="s">
        <v>734</v>
      </c>
    </row>
    <row r="6" spans="1:79" ht="11.25" customHeight="1">
      <c r="A6" s="989" t="s">
        <v>735</v>
      </c>
      <c r="B6" s="990">
        <v>2004</v>
      </c>
      <c r="C6" s="990">
        <v>2026</v>
      </c>
      <c r="E6" s="991" t="s">
        <v>736</v>
      </c>
      <c r="F6" s="1007"/>
      <c r="H6" s="992" t="s">
        <v>737</v>
      </c>
      <c r="I6" s="991" t="s">
        <v>107</v>
      </c>
      <c r="J6" s="982" t="s">
        <v>738</v>
      </c>
      <c r="N6" s="1006" t="s">
        <v>739</v>
      </c>
      <c r="O6" s="991" t="s">
        <v>740</v>
      </c>
      <c r="R6" s="64" t="s">
        <v>619</v>
      </c>
      <c r="T6" s="992" t="s">
        <v>741</v>
      </c>
      <c r="U6" s="994" t="s">
        <v>721</v>
      </c>
      <c r="V6" s="998">
        <v>5</v>
      </c>
      <c r="W6" s="999"/>
      <c r="X6" s="990" t="s">
        <v>168</v>
      </c>
      <c r="Y6" s="990" t="s">
        <v>742</v>
      </c>
      <c r="Z6" s="1005"/>
      <c r="AA6" s="1008"/>
      <c r="AH6" s="991" t="s">
        <v>743</v>
      </c>
      <c r="AK6" s="991" t="s">
        <v>744</v>
      </c>
      <c r="AM6" s="991" t="s">
        <v>745</v>
      </c>
      <c r="AP6" s="1002" t="s">
        <v>168</v>
      </c>
      <c r="AQ6" s="1003" t="s">
        <v>168</v>
      </c>
      <c r="AU6" s="1033" t="s">
        <v>746</v>
      </c>
      <c r="AW6" s="1033" t="s">
        <v>747</v>
      </c>
      <c r="AX6" s="1033" t="s">
        <v>747</v>
      </c>
      <c r="BB6" s="1033" t="s">
        <v>748</v>
      </c>
      <c r="BC6" s="1033" t="s">
        <v>729</v>
      </c>
      <c r="BE6" s="1033">
        <v>2004</v>
      </c>
      <c r="BF6" s="1033" t="s">
        <v>749</v>
      </c>
      <c r="BH6" s="983" t="s">
        <v>750</v>
      </c>
      <c r="BJ6" s="983" t="s">
        <v>751</v>
      </c>
      <c r="BL6" s="983" t="s">
        <v>751</v>
      </c>
      <c r="BN6" s="983" t="s">
        <v>752</v>
      </c>
      <c r="BQ6" s="1211">
        <v>4213784</v>
      </c>
      <c r="BR6" s="1224" t="s">
        <v>660</v>
      </c>
      <c r="BS6" s="1355"/>
      <c r="BT6" s="1211">
        <v>64236872</v>
      </c>
      <c r="BU6" s="983" t="s">
        <v>216</v>
      </c>
      <c r="BV6" s="985"/>
      <c r="BW6" s="1619">
        <v>4213768</v>
      </c>
      <c r="BX6" s="1617" t="s">
        <v>236</v>
      </c>
      <c r="BZ6" s="1211">
        <v>64237510</v>
      </c>
      <c r="CA6" s="983" t="s">
        <v>753</v>
      </c>
    </row>
    <row r="7" spans="1:79" ht="11.25" customHeight="1">
      <c r="A7" s="989" t="s">
        <v>754</v>
      </c>
      <c r="B7" s="990">
        <v>2005</v>
      </c>
      <c r="E7" s="991" t="s">
        <v>755</v>
      </c>
      <c r="F7" s="1007"/>
      <c r="H7" s="992" t="s">
        <v>756</v>
      </c>
      <c r="I7" s="991" t="s">
        <v>91</v>
      </c>
      <c r="J7" s="991" t="s">
        <v>757</v>
      </c>
      <c r="N7" s="1010" t="s">
        <v>758</v>
      </c>
      <c r="O7" s="991" t="s">
        <v>759</v>
      </c>
      <c r="U7" s="994" t="s">
        <v>56</v>
      </c>
      <c r="V7" s="294" t="s">
        <v>91</v>
      </c>
      <c r="W7" s="999"/>
      <c r="X7" s="990" t="s">
        <v>174</v>
      </c>
      <c r="Y7" s="990" t="s">
        <v>720</v>
      </c>
      <c r="Z7" s="1005"/>
      <c r="AA7" s="1008"/>
      <c r="AH7" s="991" t="s">
        <v>760</v>
      </c>
      <c r="AK7" s="991" t="s">
        <v>761</v>
      </c>
      <c r="AM7" s="991" t="s">
        <v>762</v>
      </c>
      <c r="AP7" s="1002" t="s">
        <v>174</v>
      </c>
      <c r="AQ7" s="1003" t="s">
        <v>174</v>
      </c>
      <c r="AU7" s="1033" t="s">
        <v>763</v>
      </c>
      <c r="AW7" s="1033" t="s">
        <v>764</v>
      </c>
      <c r="AX7" s="1033" t="s">
        <v>764</v>
      </c>
      <c r="AZ7" s="982" t="s">
        <v>765</v>
      </c>
      <c r="BB7" s="1033" t="s">
        <v>766</v>
      </c>
      <c r="BC7" s="1033" t="s">
        <v>729</v>
      </c>
      <c r="BE7" s="1033">
        <v>2005</v>
      </c>
      <c r="BF7" s="1033" t="s">
        <v>767</v>
      </c>
      <c r="BH7" s="983" t="s">
        <v>768</v>
      </c>
      <c r="BJ7" s="983" t="s">
        <v>750</v>
      </c>
      <c r="BL7" s="983" t="s">
        <v>750</v>
      </c>
      <c r="BN7" s="983" t="s">
        <v>769</v>
      </c>
      <c r="BQ7" s="1211">
        <v>4213781</v>
      </c>
      <c r="BR7" s="983" t="s">
        <v>653</v>
      </c>
      <c r="BS7" s="1354"/>
      <c r="BT7" s="1211">
        <v>64236873</v>
      </c>
      <c r="BU7" s="983" t="s">
        <v>221</v>
      </c>
      <c r="BV7" s="985"/>
      <c r="BW7" s="1619">
        <v>4213769</v>
      </c>
      <c r="BX7" s="1617" t="s">
        <v>770</v>
      </c>
      <c r="BZ7" s="1211">
        <v>64237511</v>
      </c>
      <c r="CA7" s="983" t="s">
        <v>251</v>
      </c>
    </row>
    <row r="8" spans="1:79" ht="11.25" customHeight="1">
      <c r="A8" s="989" t="s">
        <v>771</v>
      </c>
      <c r="B8" s="990">
        <v>2006</v>
      </c>
      <c r="E8" s="991" t="s">
        <v>772</v>
      </c>
      <c r="F8" s="1007"/>
      <c r="I8" s="991" t="s">
        <v>92</v>
      </c>
      <c r="J8" s="991" t="s">
        <v>773</v>
      </c>
      <c r="N8" s="1073" t="s">
        <v>774</v>
      </c>
      <c r="O8" s="991" t="s">
        <v>775</v>
      </c>
      <c r="V8" s="294" t="s">
        <v>92</v>
      </c>
      <c r="W8" s="999"/>
      <c r="X8" s="990" t="s">
        <v>180</v>
      </c>
      <c r="Y8" s="990" t="s">
        <v>720</v>
      </c>
      <c r="Z8" s="1005"/>
      <c r="AA8" s="1008"/>
      <c r="AK8" s="991" t="s">
        <v>776</v>
      </c>
      <c r="AP8" s="1002" t="s">
        <v>180</v>
      </c>
      <c r="AQ8" s="1003" t="s">
        <v>180</v>
      </c>
      <c r="AU8" s="1033" t="s">
        <v>777</v>
      </c>
      <c r="AW8" s="1033" t="s">
        <v>778</v>
      </c>
      <c r="AX8" s="1033" t="s">
        <v>778</v>
      </c>
      <c r="AZ8" s="1033" t="s">
        <v>779</v>
      </c>
      <c r="BB8" s="1033" t="s">
        <v>780</v>
      </c>
      <c r="BC8" s="1033" t="s">
        <v>729</v>
      </c>
      <c r="BE8" s="1033">
        <v>2006</v>
      </c>
      <c r="BF8" s="1033" t="s">
        <v>781</v>
      </c>
      <c r="BH8" s="983" t="s">
        <v>782</v>
      </c>
      <c r="BJ8" s="983" t="s">
        <v>783</v>
      </c>
      <c r="BL8" s="983" t="s">
        <v>783</v>
      </c>
      <c r="BN8" s="983" t="s">
        <v>784</v>
      </c>
      <c r="BQ8" s="1211">
        <v>4213776</v>
      </c>
      <c r="BR8" s="983" t="s">
        <v>162</v>
      </c>
      <c r="BS8" s="1354"/>
      <c r="BT8" s="1211">
        <v>64236874</v>
      </c>
      <c r="BU8" s="1224" t="s">
        <v>785</v>
      </c>
      <c r="BV8" s="985"/>
      <c r="BW8" s="1619">
        <v>4213770</v>
      </c>
      <c r="BX8" s="1620" t="s">
        <v>786</v>
      </c>
      <c r="BZ8" s="1211">
        <v>64237512</v>
      </c>
      <c r="CA8" s="983" t="s">
        <v>246</v>
      </c>
    </row>
    <row r="9" spans="1:79" ht="11.25" customHeight="1">
      <c r="A9" s="989" t="s">
        <v>787</v>
      </c>
      <c r="B9" s="990">
        <v>2007</v>
      </c>
      <c r="E9" s="991" t="s">
        <v>788</v>
      </c>
      <c r="F9" s="1007"/>
      <c r="G9" s="982" t="s">
        <v>789</v>
      </c>
      <c r="H9" s="982" t="s">
        <v>790</v>
      </c>
      <c r="I9" s="991" t="s">
        <v>108</v>
      </c>
      <c r="O9" s="991" t="s">
        <v>791</v>
      </c>
      <c r="V9" s="294" t="s">
        <v>108</v>
      </c>
      <c r="W9" s="999"/>
      <c r="X9" s="990" t="s">
        <v>186</v>
      </c>
      <c r="Y9" s="990" t="s">
        <v>625</v>
      </c>
      <c r="Z9" s="1005">
        <v>1</v>
      </c>
      <c r="AA9" s="1008"/>
      <c r="AK9" s="991" t="s">
        <v>792</v>
      </c>
      <c r="AP9" s="1002" t="s">
        <v>793</v>
      </c>
      <c r="AQ9" s="1003" t="s">
        <v>793</v>
      </c>
      <c r="AW9" s="1033" t="s">
        <v>794</v>
      </c>
      <c r="AX9" s="1033" t="s">
        <v>794</v>
      </c>
      <c r="AZ9" s="1033" t="s">
        <v>795</v>
      </c>
      <c r="BB9" s="1033" t="s">
        <v>796</v>
      </c>
      <c r="BC9" s="1033" t="s">
        <v>729</v>
      </c>
      <c r="BE9" s="1033">
        <v>2007</v>
      </c>
      <c r="BF9" s="1033" t="s">
        <v>797</v>
      </c>
      <c r="BH9" s="983" t="s">
        <v>798</v>
      </c>
      <c r="BJ9" s="983" t="s">
        <v>799</v>
      </c>
      <c r="BL9" s="983" t="s">
        <v>799</v>
      </c>
      <c r="BN9" s="983" t="s">
        <v>800</v>
      </c>
      <c r="BQ9" s="1211">
        <v>4213777</v>
      </c>
      <c r="BR9" s="983" t="s">
        <v>168</v>
      </c>
      <c r="BS9" s="1354"/>
      <c r="BT9" s="1211">
        <v>64236875</v>
      </c>
      <c r="BU9" s="983" t="s">
        <v>226</v>
      </c>
      <c r="BV9" s="985"/>
      <c r="BW9"/>
      <c r="BX9"/>
    </row>
    <row r="10" spans="1:79" ht="11.25" customHeight="1">
      <c r="A10" s="989" t="s">
        <v>801</v>
      </c>
      <c r="B10" s="990">
        <v>2008</v>
      </c>
      <c r="E10" s="991" t="s">
        <v>802</v>
      </c>
      <c r="F10" s="1007"/>
      <c r="G10" s="991" t="s">
        <v>803</v>
      </c>
      <c r="H10" s="991" t="s">
        <v>804</v>
      </c>
      <c r="I10" s="991" t="s">
        <v>144</v>
      </c>
      <c r="J10" s="982" t="s">
        <v>805</v>
      </c>
      <c r="K10" s="982" t="s">
        <v>806</v>
      </c>
      <c r="O10" s="991" t="s">
        <v>807</v>
      </c>
      <c r="V10" s="295" t="s">
        <v>144</v>
      </c>
      <c r="W10" s="1011"/>
      <c r="X10" s="1011" t="s">
        <v>808</v>
      </c>
      <c r="Y10" s="1012" t="s">
        <v>809</v>
      </c>
      <c r="Z10" s="1005"/>
      <c r="AP10" s="1002" t="s">
        <v>808</v>
      </c>
      <c r="AQ10" s="1003" t="s">
        <v>808</v>
      </c>
      <c r="AW10" s="1033" t="s">
        <v>810</v>
      </c>
      <c r="AX10" s="1033" t="s">
        <v>810</v>
      </c>
      <c r="AZ10" s="1033" t="s">
        <v>811</v>
      </c>
      <c r="BB10" s="1033" t="s">
        <v>812</v>
      </c>
      <c r="BC10" s="1033" t="s">
        <v>729</v>
      </c>
      <c r="BE10" s="1033">
        <v>2008</v>
      </c>
      <c r="BF10" s="1033" t="s">
        <v>813</v>
      </c>
      <c r="BH10" s="983" t="s">
        <v>814</v>
      </c>
      <c r="BJ10" s="983" t="s">
        <v>815</v>
      </c>
      <c r="BL10" s="983" t="s">
        <v>815</v>
      </c>
      <c r="BN10" s="983" t="s">
        <v>816</v>
      </c>
      <c r="BQ10" s="1211">
        <v>4213778</v>
      </c>
      <c r="BR10" s="983" t="s">
        <v>174</v>
      </c>
      <c r="BS10" s="1354"/>
      <c r="BT10" s="1211">
        <v>64236876</v>
      </c>
      <c r="BU10" s="983" t="s">
        <v>206</v>
      </c>
      <c r="BV10" s="985"/>
      <c r="BW10"/>
      <c r="BX10"/>
    </row>
    <row r="11" spans="1:79" ht="11.25" customHeight="1">
      <c r="A11" s="989" t="s">
        <v>817</v>
      </c>
      <c r="B11" s="990">
        <v>2009</v>
      </c>
      <c r="E11" s="991" t="s">
        <v>818</v>
      </c>
      <c r="F11" s="1007"/>
      <c r="G11" s="991" t="s">
        <v>819</v>
      </c>
      <c r="H11" s="991" t="s">
        <v>820</v>
      </c>
      <c r="I11" s="991" t="s">
        <v>145</v>
      </c>
      <c r="J11" s="992" t="s">
        <v>821</v>
      </c>
      <c r="K11" s="1013" t="s">
        <v>822</v>
      </c>
      <c r="O11" s="992" t="s">
        <v>823</v>
      </c>
      <c r="V11" s="294" t="s">
        <v>145</v>
      </c>
      <c r="W11" s="190"/>
      <c r="X11" s="999" t="s">
        <v>793</v>
      </c>
      <c r="Y11" s="990" t="s">
        <v>824</v>
      </c>
      <c r="Z11" s="1005"/>
      <c r="AP11" s="1002" t="s">
        <v>186</v>
      </c>
      <c r="AQ11" s="1004" t="s">
        <v>186</v>
      </c>
      <c r="AW11" s="1033" t="s">
        <v>825</v>
      </c>
      <c r="AX11" s="1033" t="s">
        <v>825</v>
      </c>
      <c r="AZ11" s="1033" t="s">
        <v>826</v>
      </c>
      <c r="BB11" s="1033" t="s">
        <v>827</v>
      </c>
      <c r="BC11" s="1033" t="s">
        <v>729</v>
      </c>
      <c r="BE11" s="1033">
        <v>2009</v>
      </c>
      <c r="BF11" s="1033" t="s">
        <v>828</v>
      </c>
      <c r="BH11" s="983" t="s">
        <v>829</v>
      </c>
      <c r="BJ11" s="983" t="s">
        <v>798</v>
      </c>
      <c r="BL11" s="983" t="s">
        <v>798</v>
      </c>
      <c r="BN11" s="983" t="s">
        <v>830</v>
      </c>
      <c r="BQ11" s="1211">
        <v>4213780</v>
      </c>
      <c r="BR11" s="983" t="s">
        <v>180</v>
      </c>
      <c r="BS11" s="1354"/>
      <c r="BW11"/>
      <c r="BX11"/>
    </row>
    <row r="12" spans="1:79" ht="11.25" customHeight="1">
      <c r="A12" s="989" t="s">
        <v>831</v>
      </c>
      <c r="B12" s="990">
        <v>2010</v>
      </c>
      <c r="E12" s="991" t="s">
        <v>832</v>
      </c>
      <c r="F12" s="1007"/>
      <c r="G12" s="991" t="s">
        <v>820</v>
      </c>
      <c r="I12" s="991" t="s">
        <v>146</v>
      </c>
      <c r="J12" s="992" t="s">
        <v>833</v>
      </c>
      <c r="K12" s="1013" t="s">
        <v>834</v>
      </c>
      <c r="O12" s="992" t="s">
        <v>619</v>
      </c>
      <c r="V12" s="294" t="s">
        <v>146</v>
      </c>
      <c r="W12" s="1004"/>
      <c r="X12" s="999" t="s">
        <v>835</v>
      </c>
      <c r="Y12" s="990" t="s">
        <v>625</v>
      </c>
      <c r="AP12" s="1002"/>
      <c r="AW12" s="1033" t="s">
        <v>145</v>
      </c>
      <c r="AX12" s="1033" t="s">
        <v>145</v>
      </c>
      <c r="AZ12" s="1033" t="s">
        <v>836</v>
      </c>
      <c r="BB12" s="1033" t="s">
        <v>837</v>
      </c>
      <c r="BC12" s="1033" t="s">
        <v>729</v>
      </c>
      <c r="BE12" s="1033">
        <v>2010</v>
      </c>
      <c r="BF12" s="1033" t="s">
        <v>838</v>
      </c>
      <c r="BH12" s="983" t="s">
        <v>839</v>
      </c>
      <c r="BJ12" s="983" t="s">
        <v>840</v>
      </c>
      <c r="BL12" s="983" t="s">
        <v>840</v>
      </c>
      <c r="BN12" s="983" t="s">
        <v>841</v>
      </c>
      <c r="BQ12" s="1211">
        <v>4213779</v>
      </c>
      <c r="BR12" s="983" t="s">
        <v>793</v>
      </c>
      <c r="BS12" s="1354"/>
      <c r="BT12" s="985"/>
      <c r="BU12" s="985"/>
      <c r="BV12" s="985"/>
      <c r="BW12"/>
      <c r="BX12"/>
    </row>
    <row r="13" spans="1:79" ht="11.25" customHeight="1">
      <c r="A13" s="989" t="s">
        <v>842</v>
      </c>
      <c r="B13" s="990">
        <v>2011</v>
      </c>
      <c r="E13" s="991" t="s">
        <v>843</v>
      </c>
      <c r="F13" s="1007"/>
      <c r="I13" s="991" t="s">
        <v>147</v>
      </c>
      <c r="K13" s="1013" t="s">
        <v>792</v>
      </c>
      <c r="V13" s="294" t="s">
        <v>147</v>
      </c>
      <c r="W13" s="1004"/>
      <c r="X13" s="1004"/>
      <c r="Y13" s="1004"/>
      <c r="AW13" s="1033" t="s">
        <v>146</v>
      </c>
      <c r="AX13" s="1033" t="s">
        <v>146</v>
      </c>
      <c r="BB13" s="1033" t="s">
        <v>844</v>
      </c>
      <c r="BC13" s="1033" t="s">
        <v>845</v>
      </c>
      <c r="BE13" s="1033">
        <v>2011</v>
      </c>
      <c r="BF13" s="1033" t="s">
        <v>846</v>
      </c>
      <c r="BH13" s="983" t="s">
        <v>847</v>
      </c>
      <c r="BJ13" s="983" t="s">
        <v>829</v>
      </c>
      <c r="BL13" s="983" t="s">
        <v>829</v>
      </c>
      <c r="BN13" s="983" t="s">
        <v>848</v>
      </c>
      <c r="BQ13" s="1211">
        <v>4213783</v>
      </c>
      <c r="BR13" s="983" t="s">
        <v>808</v>
      </c>
      <c r="BS13" s="1354"/>
      <c r="BT13" s="985"/>
      <c r="BU13" s="985"/>
      <c r="BV13" s="985"/>
      <c r="BW13" s="1618"/>
      <c r="BX13"/>
    </row>
    <row r="14" spans="1:79" ht="11.25" customHeight="1">
      <c r="A14" s="989" t="s">
        <v>849</v>
      </c>
      <c r="B14" s="990">
        <v>2012</v>
      </c>
      <c r="I14" s="991" t="s">
        <v>148</v>
      </c>
      <c r="J14" s="982" t="s">
        <v>850</v>
      </c>
      <c r="N14" s="982" t="s">
        <v>851</v>
      </c>
      <c r="V14" s="998">
        <v>13</v>
      </c>
      <c r="W14" s="999"/>
      <c r="X14" s="999" t="s">
        <v>660</v>
      </c>
      <c r="Y14" s="990" t="s">
        <v>625</v>
      </c>
      <c r="AW14" s="1033" t="s">
        <v>147</v>
      </c>
      <c r="AX14" s="1033" t="s">
        <v>147</v>
      </c>
      <c r="AZ14" s="982" t="s">
        <v>852</v>
      </c>
      <c r="BB14" s="1033" t="s">
        <v>853</v>
      </c>
      <c r="BC14" s="1033" t="s">
        <v>845</v>
      </c>
      <c r="BE14" s="1033">
        <v>2012</v>
      </c>
      <c r="BH14" s="983" t="s">
        <v>769</v>
      </c>
      <c r="BJ14" s="1131" t="s">
        <v>854</v>
      </c>
      <c r="BL14" s="1131" t="s">
        <v>854</v>
      </c>
      <c r="BN14" s="983" t="s">
        <v>855</v>
      </c>
      <c r="BQ14" s="1211">
        <v>4213782</v>
      </c>
      <c r="BR14" s="983" t="s">
        <v>186</v>
      </c>
      <c r="BS14" s="1354"/>
      <c r="BT14" s="985"/>
      <c r="BU14" s="985"/>
      <c r="BV14" s="985"/>
      <c r="BW14" s="1618"/>
      <c r="BX14"/>
    </row>
    <row r="15" spans="1:79" ht="19.5" customHeight="1">
      <c r="A15" s="989" t="s">
        <v>856</v>
      </c>
      <c r="B15" s="990">
        <v>2013</v>
      </c>
      <c r="E15" s="1622" t="s">
        <v>857</v>
      </c>
      <c r="G15" s="982" t="s">
        <v>858</v>
      </c>
      <c r="H15" s="982" t="s">
        <v>859</v>
      </c>
      <c r="I15" s="993" t="s">
        <v>149</v>
      </c>
      <c r="J15" s="1004" t="s">
        <v>860</v>
      </c>
      <c r="N15" s="1068" t="s">
        <v>861</v>
      </c>
      <c r="X15" s="1002"/>
      <c r="AW15" s="1033" t="s">
        <v>148</v>
      </c>
      <c r="AX15" s="1033" t="s">
        <v>148</v>
      </c>
      <c r="AZ15" s="1033" t="s">
        <v>779</v>
      </c>
      <c r="BB15" s="1033" t="s">
        <v>862</v>
      </c>
      <c r="BC15" s="1033" t="s">
        <v>845</v>
      </c>
      <c r="BE15" s="1033">
        <v>2013</v>
      </c>
      <c r="BH15" s="983" t="s">
        <v>784</v>
      </c>
      <c r="BJ15" s="1131" t="s">
        <v>863</v>
      </c>
      <c r="BL15" s="1131" t="s">
        <v>863</v>
      </c>
      <c r="BN15" s="983" t="s">
        <v>864</v>
      </c>
      <c r="BR15" s="985"/>
      <c r="BS15" s="1356"/>
      <c r="BT15" s="985"/>
      <c r="BU15" s="985"/>
      <c r="BV15" s="985"/>
      <c r="BW15" s="1618"/>
      <c r="BX15"/>
    </row>
    <row r="16" spans="1:79" ht="21" customHeight="1">
      <c r="A16" s="989" t="s">
        <v>865</v>
      </c>
      <c r="B16" s="990">
        <v>2014</v>
      </c>
      <c r="E16" s="1623" t="s">
        <v>866</v>
      </c>
      <c r="G16" s="991" t="s">
        <v>867</v>
      </c>
      <c r="H16" s="991" t="s">
        <v>868</v>
      </c>
      <c r="I16" s="993" t="s">
        <v>869</v>
      </c>
      <c r="J16" s="1004" t="s">
        <v>643</v>
      </c>
      <c r="N16" s="1068" t="s">
        <v>870</v>
      </c>
      <c r="AW16" s="1033" t="s">
        <v>149</v>
      </c>
      <c r="AX16" s="1033" t="s">
        <v>149</v>
      </c>
      <c r="AZ16" s="1033" t="s">
        <v>795</v>
      </c>
      <c r="BB16" s="1033" t="s">
        <v>871</v>
      </c>
      <c r="BC16" s="1033" t="s">
        <v>845</v>
      </c>
      <c r="BE16" s="1033">
        <v>2014</v>
      </c>
      <c r="BH16" s="983" t="s">
        <v>800</v>
      </c>
      <c r="BJ16" s="1131" t="s">
        <v>872</v>
      </c>
      <c r="BL16" s="1131" t="s">
        <v>872</v>
      </c>
      <c r="BN16" s="983" t="s">
        <v>873</v>
      </c>
      <c r="BR16" s="985"/>
      <c r="BS16" s="1356"/>
      <c r="BT16" s="985"/>
      <c r="BU16" s="985"/>
      <c r="BV16" s="985"/>
      <c r="BW16" s="1618"/>
      <c r="BX16"/>
    </row>
    <row r="17" spans="1:82" ht="21" customHeight="1">
      <c r="A17" s="989" t="s">
        <v>874</v>
      </c>
      <c r="B17" s="990">
        <v>2015</v>
      </c>
      <c r="G17" s="991" t="s">
        <v>820</v>
      </c>
      <c r="H17" s="991" t="s">
        <v>820</v>
      </c>
      <c r="I17" s="991" t="s">
        <v>875</v>
      </c>
      <c r="N17" s="1068" t="s">
        <v>876</v>
      </c>
      <c r="X17" s="1002"/>
      <c r="AW17" s="1033" t="s">
        <v>869</v>
      </c>
      <c r="AX17" s="1033" t="s">
        <v>869</v>
      </c>
      <c r="AZ17" s="1033" t="s">
        <v>877</v>
      </c>
      <c r="BB17" s="1033" t="s">
        <v>878</v>
      </c>
      <c r="BC17" s="1033" t="s">
        <v>729</v>
      </c>
      <c r="BE17" s="1033">
        <v>2015</v>
      </c>
      <c r="BH17" s="983" t="s">
        <v>816</v>
      </c>
      <c r="BJ17" s="1131" t="s">
        <v>879</v>
      </c>
      <c r="BL17" s="1131" t="s">
        <v>879</v>
      </c>
      <c r="BN17" s="983" t="s">
        <v>880</v>
      </c>
      <c r="BR17" s="982" t="s">
        <v>671</v>
      </c>
      <c r="BS17" s="1353"/>
      <c r="BU17" s="982" t="s">
        <v>881</v>
      </c>
      <c r="BV17" s="985"/>
      <c r="BW17"/>
      <c r="BX17" s="1616" t="s">
        <v>882</v>
      </c>
      <c r="CA17" s="982" t="s">
        <v>883</v>
      </c>
      <c r="CD17" s="982" t="s">
        <v>884</v>
      </c>
    </row>
    <row r="18" spans="1:82" ht="21" customHeight="1">
      <c r="A18" s="989" t="s">
        <v>885</v>
      </c>
      <c r="B18" s="990">
        <v>2016</v>
      </c>
      <c r="I18" s="991" t="s">
        <v>886</v>
      </c>
      <c r="N18" s="1068" t="s">
        <v>887</v>
      </c>
      <c r="X18" s="1002"/>
      <c r="AW18" s="1033" t="s">
        <v>875</v>
      </c>
      <c r="AX18" s="1033" t="s">
        <v>875</v>
      </c>
      <c r="BB18" s="1033" t="s">
        <v>888</v>
      </c>
      <c r="BC18" s="1033" t="s">
        <v>729</v>
      </c>
      <c r="BE18" s="1033">
        <v>2016</v>
      </c>
      <c r="BH18" s="983" t="s">
        <v>830</v>
      </c>
      <c r="BJ18" s="1131" t="s">
        <v>889</v>
      </c>
      <c r="BL18" s="1131" t="s">
        <v>889</v>
      </c>
      <c r="BN18" s="983" t="s">
        <v>890</v>
      </c>
      <c r="BQ18" s="1357" t="s">
        <v>701</v>
      </c>
      <c r="BR18" s="1069" t="s">
        <v>702</v>
      </c>
      <c r="BS18" s="189"/>
      <c r="BT18" s="1357" t="s">
        <v>891</v>
      </c>
      <c r="BU18" s="1069" t="s">
        <v>892</v>
      </c>
      <c r="BV18" s="985"/>
      <c r="BW18" s="1621" t="s">
        <v>893</v>
      </c>
      <c r="BX18" s="1615" t="s">
        <v>894</v>
      </c>
      <c r="BZ18" s="1357" t="s">
        <v>895</v>
      </c>
      <c r="CA18" s="1069" t="s">
        <v>896</v>
      </c>
      <c r="CC18" s="1357" t="s">
        <v>897</v>
      </c>
      <c r="CD18" s="1069" t="s">
        <v>898</v>
      </c>
    </row>
    <row r="19" spans="1:82" ht="21" customHeight="1">
      <c r="A19" s="989" t="s">
        <v>899</v>
      </c>
      <c r="B19" s="990">
        <v>2017</v>
      </c>
      <c r="I19" s="991" t="s">
        <v>900</v>
      </c>
      <c r="N19" s="1068" t="s">
        <v>901</v>
      </c>
      <c r="X19" s="1002"/>
      <c r="AW19" s="1033" t="s">
        <v>886</v>
      </c>
      <c r="AX19" s="1033" t="s">
        <v>886</v>
      </c>
      <c r="AZ19" s="982" t="s">
        <v>902</v>
      </c>
      <c r="BB19" s="1033" t="s">
        <v>903</v>
      </c>
      <c r="BC19" s="1033" t="s">
        <v>729</v>
      </c>
      <c r="BE19" s="1033">
        <v>2017</v>
      </c>
      <c r="BH19" s="983" t="s">
        <v>904</v>
      </c>
      <c r="BJ19" s="1131" t="s">
        <v>905</v>
      </c>
      <c r="BL19" s="1131" t="s">
        <v>905</v>
      </c>
      <c r="BQ19" s="1211">
        <v>4190064</v>
      </c>
      <c r="BR19" s="983" t="s">
        <v>906</v>
      </c>
      <c r="BS19" s="1354"/>
      <c r="BT19" s="1211">
        <v>4189671</v>
      </c>
      <c r="BU19" s="983" t="s">
        <v>907</v>
      </c>
      <c r="BV19" s="985"/>
      <c r="BW19" s="1619">
        <v>4189706</v>
      </c>
      <c r="BX19" s="1617" t="s">
        <v>908</v>
      </c>
      <c r="BZ19" s="1211">
        <v>4189714</v>
      </c>
      <c r="CA19" s="983" t="s">
        <v>909</v>
      </c>
      <c r="CC19" s="1211">
        <v>4189708</v>
      </c>
      <c r="CD19" s="983" t="s">
        <v>910</v>
      </c>
    </row>
    <row r="20" spans="1:82" ht="21" customHeight="1">
      <c r="A20" s="989" t="s">
        <v>911</v>
      </c>
      <c r="B20" s="990">
        <v>2018</v>
      </c>
      <c r="I20" s="991" t="s">
        <v>912</v>
      </c>
      <c r="N20" s="1068" t="s">
        <v>913</v>
      </c>
      <c r="AW20" s="1033" t="s">
        <v>900</v>
      </c>
      <c r="AX20" s="1033" t="s">
        <v>900</v>
      </c>
      <c r="AZ20" s="1033" t="s">
        <v>914</v>
      </c>
      <c r="BB20" s="1033" t="s">
        <v>915</v>
      </c>
      <c r="BC20" s="1033" t="s">
        <v>845</v>
      </c>
      <c r="BE20" s="1033">
        <v>2018</v>
      </c>
      <c r="BH20" s="983" t="s">
        <v>841</v>
      </c>
      <c r="BJ20" s="983" t="s">
        <v>769</v>
      </c>
      <c r="BL20" s="983" t="s">
        <v>769</v>
      </c>
      <c r="BQ20" s="1211">
        <v>4190065</v>
      </c>
      <c r="BR20" s="983" t="s">
        <v>916</v>
      </c>
      <c r="BS20" s="1354"/>
      <c r="BT20" s="1211">
        <v>4189672</v>
      </c>
      <c r="BU20" s="983" t="s">
        <v>917</v>
      </c>
      <c r="BV20" s="985"/>
      <c r="BW20" s="1619">
        <v>4189705</v>
      </c>
      <c r="BX20" s="1617" t="s">
        <v>918</v>
      </c>
      <c r="BZ20" s="1211">
        <v>4189713</v>
      </c>
      <c r="CA20" s="983" t="s">
        <v>918</v>
      </c>
      <c r="CC20" s="1211">
        <v>4189709</v>
      </c>
      <c r="CD20" s="983" t="s">
        <v>919</v>
      </c>
    </row>
    <row r="21" spans="1:82" ht="21" customHeight="1">
      <c r="A21" s="989" t="s">
        <v>920</v>
      </c>
      <c r="B21" s="990">
        <v>2019</v>
      </c>
      <c r="I21" s="991" t="s">
        <v>921</v>
      </c>
      <c r="N21" s="1068" t="s">
        <v>922</v>
      </c>
      <c r="AW21" s="1033" t="s">
        <v>912</v>
      </c>
      <c r="AX21" s="1033" t="s">
        <v>912</v>
      </c>
      <c r="AZ21" s="1033" t="s">
        <v>923</v>
      </c>
      <c r="BB21" s="1033" t="s">
        <v>924</v>
      </c>
      <c r="BC21" s="1033" t="s">
        <v>729</v>
      </c>
      <c r="BE21" s="1033">
        <v>2019</v>
      </c>
      <c r="BH21" s="983" t="s">
        <v>848</v>
      </c>
      <c r="BJ21" s="983" t="s">
        <v>784</v>
      </c>
      <c r="BL21" s="983" t="s">
        <v>784</v>
      </c>
      <c r="BQ21" s="1211">
        <v>4190066</v>
      </c>
      <c r="BR21" s="983" t="s">
        <v>925</v>
      </c>
      <c r="BS21" s="1354"/>
      <c r="BT21" s="1211">
        <v>4189673</v>
      </c>
      <c r="BU21" s="983" t="s">
        <v>926</v>
      </c>
      <c r="BV21" s="985"/>
      <c r="BW21" s="1619">
        <v>4189707</v>
      </c>
      <c r="BX21" s="1617" t="s">
        <v>927</v>
      </c>
      <c r="BZ21" s="1211">
        <v>4189712</v>
      </c>
      <c r="CA21" s="983" t="s">
        <v>928</v>
      </c>
      <c r="CC21" s="1211">
        <v>4189710</v>
      </c>
      <c r="CD21" s="983" t="s">
        <v>929</v>
      </c>
    </row>
    <row r="22" spans="1:82" ht="21" customHeight="1">
      <c r="A22" s="989" t="s">
        <v>930</v>
      </c>
      <c r="B22" s="990">
        <v>2020</v>
      </c>
      <c r="N22" s="1068" t="s">
        <v>931</v>
      </c>
      <c r="AW22" s="1033" t="s">
        <v>921</v>
      </c>
      <c r="AX22" s="1033" t="s">
        <v>921</v>
      </c>
      <c r="AZ22" s="1033" t="s">
        <v>932</v>
      </c>
      <c r="BB22" s="1033" t="s">
        <v>933</v>
      </c>
      <c r="BC22" s="1033" t="s">
        <v>729</v>
      </c>
      <c r="BE22" s="1033">
        <v>2020</v>
      </c>
      <c r="BH22" s="983" t="s">
        <v>855</v>
      </c>
      <c r="BJ22" s="983" t="s">
        <v>800</v>
      </c>
      <c r="BL22" s="983" t="s">
        <v>800</v>
      </c>
      <c r="BQ22" s="1211">
        <v>4190067</v>
      </c>
      <c r="BR22" s="983" t="s">
        <v>934</v>
      </c>
      <c r="BS22" s="1354"/>
      <c r="BT22" s="1211">
        <v>4189674</v>
      </c>
      <c r="BU22" s="983" t="s">
        <v>935</v>
      </c>
      <c r="BV22" s="985"/>
      <c r="BW22" s="985"/>
      <c r="CC22" s="1211">
        <v>4189711</v>
      </c>
      <c r="CD22" s="983" t="s">
        <v>275</v>
      </c>
    </row>
    <row r="23" spans="1:82" ht="21" customHeight="1">
      <c r="A23" s="989" t="s">
        <v>936</v>
      </c>
      <c r="B23" s="990">
        <v>2021</v>
      </c>
      <c r="AW23" s="1033" t="s">
        <v>937</v>
      </c>
      <c r="AX23" s="1033" t="s">
        <v>937</v>
      </c>
      <c r="AZ23" s="1033" t="s">
        <v>938</v>
      </c>
      <c r="BB23" s="1033" t="s">
        <v>939</v>
      </c>
      <c r="BC23" s="1033" t="s">
        <v>636</v>
      </c>
      <c r="BE23" s="1033">
        <v>2021</v>
      </c>
      <c r="BH23" s="983" t="s">
        <v>864</v>
      </c>
      <c r="BJ23" s="983" t="s">
        <v>816</v>
      </c>
      <c r="BL23" s="983" t="s">
        <v>816</v>
      </c>
      <c r="BQ23" s="1211">
        <v>4190068</v>
      </c>
      <c r="BR23" s="983" t="s">
        <v>940</v>
      </c>
      <c r="BS23" s="1354"/>
      <c r="BT23" s="1211">
        <v>4189675</v>
      </c>
      <c r="BU23" s="983" t="s">
        <v>941</v>
      </c>
      <c r="BV23" s="985"/>
      <c r="BW23" s="985"/>
      <c r="CC23" s="1211">
        <v>5110778</v>
      </c>
      <c r="CD23" s="983" t="s">
        <v>942</v>
      </c>
    </row>
    <row r="24" spans="1:82" ht="21" customHeight="1">
      <c r="A24" s="989" t="s">
        <v>943</v>
      </c>
      <c r="B24" s="990">
        <v>2022</v>
      </c>
      <c r="AW24" s="1033" t="s">
        <v>944</v>
      </c>
      <c r="AX24" s="1033" t="s">
        <v>944</v>
      </c>
      <c r="AZ24" s="1033" t="s">
        <v>945</v>
      </c>
      <c r="BB24" s="1033" t="s">
        <v>946</v>
      </c>
      <c r="BC24" s="1033" t="s">
        <v>947</v>
      </c>
      <c r="BE24" s="1033">
        <v>2022</v>
      </c>
      <c r="BH24" s="983" t="s">
        <v>873</v>
      </c>
      <c r="BJ24" s="983" t="s">
        <v>830</v>
      </c>
      <c r="BL24" s="983" t="s">
        <v>830</v>
      </c>
      <c r="BQ24" s="1211">
        <v>4190069</v>
      </c>
      <c r="BR24" s="983" t="s">
        <v>948</v>
      </c>
      <c r="BS24" s="1354"/>
      <c r="BT24" s="1211">
        <v>4189676</v>
      </c>
      <c r="BU24" s="983" t="s">
        <v>949</v>
      </c>
      <c r="BV24" s="985"/>
      <c r="BW24" s="985"/>
      <c r="CC24" s="1211">
        <v>25575374</v>
      </c>
      <c r="CD24" s="983" t="s">
        <v>950</v>
      </c>
    </row>
    <row r="25" spans="1:82" ht="11.25" customHeight="1">
      <c r="A25" s="989" t="s">
        <v>951</v>
      </c>
      <c r="B25" s="990">
        <v>2023</v>
      </c>
      <c r="AW25" s="1033" t="s">
        <v>952</v>
      </c>
      <c r="AX25" s="1033" t="s">
        <v>952</v>
      </c>
      <c r="AZ25" s="1033" t="s">
        <v>953</v>
      </c>
      <c r="BB25" s="1033" t="s">
        <v>954</v>
      </c>
      <c r="BC25" s="1033" t="s">
        <v>947</v>
      </c>
      <c r="BE25" s="1033">
        <v>2023</v>
      </c>
      <c r="BH25" s="983" t="s">
        <v>880</v>
      </c>
      <c r="BJ25" s="983" t="s">
        <v>904</v>
      </c>
      <c r="BL25" s="983" t="s">
        <v>904</v>
      </c>
      <c r="BQ25" s="1211">
        <v>4190070</v>
      </c>
      <c r="BR25" s="983" t="s">
        <v>955</v>
      </c>
      <c r="BS25" s="1354"/>
      <c r="BT25" s="1211">
        <v>4189677</v>
      </c>
      <c r="BU25" s="983" t="s">
        <v>956</v>
      </c>
      <c r="BV25" s="985"/>
      <c r="BW25" s="985"/>
    </row>
    <row r="26" spans="1:82" ht="11.25" customHeight="1">
      <c r="A26" s="989" t="s">
        <v>957</v>
      </c>
      <c r="B26" s="990">
        <v>2024</v>
      </c>
      <c r="J26" s="1655" t="s">
        <v>958</v>
      </c>
      <c r="AX26" s="1033" t="s">
        <v>959</v>
      </c>
      <c r="AZ26" s="1033" t="s">
        <v>823</v>
      </c>
      <c r="BB26" s="1033" t="s">
        <v>960</v>
      </c>
      <c r="BC26" s="1033" t="s">
        <v>947</v>
      </c>
      <c r="BE26" s="1033">
        <v>2024</v>
      </c>
      <c r="BH26" s="983" t="s">
        <v>890</v>
      </c>
      <c r="BJ26" s="983" t="s">
        <v>841</v>
      </c>
      <c r="BL26" s="983" t="s">
        <v>841</v>
      </c>
      <c r="BQ26" s="1211">
        <v>4190071</v>
      </c>
      <c r="BR26" s="983" t="s">
        <v>961</v>
      </c>
      <c r="BS26" s="1354"/>
      <c r="BV26" s="985"/>
      <c r="BW26" s="985"/>
    </row>
    <row r="27" spans="1:82" ht="11.25" customHeight="1">
      <c r="A27" s="989" t="s">
        <v>14</v>
      </c>
      <c r="B27" s="990">
        <v>2025</v>
      </c>
      <c r="J27" s="94" t="s">
        <v>332</v>
      </c>
      <c r="AX27" s="1033" t="s">
        <v>962</v>
      </c>
      <c r="BB27" s="1033" t="s">
        <v>963</v>
      </c>
      <c r="BC27" s="1033" t="s">
        <v>947</v>
      </c>
      <c r="BE27" s="1033">
        <v>2025</v>
      </c>
      <c r="BH27" s="985" t="s">
        <v>18</v>
      </c>
      <c r="BJ27" s="983" t="s">
        <v>848</v>
      </c>
      <c r="BL27" s="983" t="s">
        <v>848</v>
      </c>
      <c r="BN27" s="985" t="s">
        <v>18</v>
      </c>
      <c r="BQ27" s="1211">
        <v>4190072</v>
      </c>
      <c r="BR27" s="983" t="s">
        <v>964</v>
      </c>
      <c r="BS27" s="1354"/>
      <c r="BV27" s="985"/>
      <c r="BW27" s="985"/>
    </row>
    <row r="28" spans="1:82" ht="11.25" customHeight="1">
      <c r="A28" s="989" t="s">
        <v>965</v>
      </c>
      <c r="D28" s="1014"/>
      <c r="E28" s="1015"/>
      <c r="F28" s="1015"/>
      <c r="H28" s="1016" t="s">
        <v>966</v>
      </c>
      <c r="AX28" s="1033" t="s">
        <v>967</v>
      </c>
      <c r="AZ28" s="982" t="s">
        <v>968</v>
      </c>
      <c r="BB28" s="1033" t="s">
        <v>969</v>
      </c>
      <c r="BC28" s="1033" t="s">
        <v>970</v>
      </c>
      <c r="BE28" s="1033">
        <v>2026</v>
      </c>
      <c r="BH28" s="985" t="s">
        <v>18</v>
      </c>
      <c r="BJ28" s="983" t="s">
        <v>855</v>
      </c>
      <c r="BL28" s="983" t="s">
        <v>855</v>
      </c>
      <c r="BN28" s="985" t="s">
        <v>18</v>
      </c>
      <c r="BQ28" s="1211">
        <v>4190073</v>
      </c>
      <c r="BR28" s="983" t="s">
        <v>971</v>
      </c>
      <c r="BS28" s="1354"/>
      <c r="BV28" s="985"/>
      <c r="BW28" s="985"/>
    </row>
    <row r="29" spans="1:82" ht="11.25" customHeight="1">
      <c r="A29" s="989" t="s">
        <v>972</v>
      </c>
      <c r="D29" s="1017" t="s">
        <v>973</v>
      </c>
      <c r="E29" s="1018">
        <f>IF(TEMPLATE_GROUP="","",INDEX(StartDateList,MATCH(TEMPLATE_GROUP,CodeTemplateList,0),1))</f>
        <v>0</v>
      </c>
      <c r="F29" s="1018">
        <f>IF(TEMPLATE_GROUP="","",INDEX(EndDateList,MATCH(TEMPLATE_GROUP,CodeTemplateList,0),1))</f>
        <v>0</v>
      </c>
      <c r="H29" s="1019" t="s">
        <v>974</v>
      </c>
      <c r="AX29" s="1033" t="s">
        <v>975</v>
      </c>
      <c r="AZ29" s="1033" t="s">
        <v>620</v>
      </c>
      <c r="BB29" s="1033" t="s">
        <v>823</v>
      </c>
      <c r="BC29" s="1005"/>
      <c r="BE29" s="1033">
        <v>2027</v>
      </c>
      <c r="BJ29" s="983" t="s">
        <v>864</v>
      </c>
      <c r="BL29" s="983" t="s">
        <v>864</v>
      </c>
    </row>
    <row r="30" spans="1:82" ht="11.25" customHeight="1">
      <c r="A30" s="989" t="s">
        <v>976</v>
      </c>
      <c r="D30" s="1020"/>
      <c r="E30" s="1021"/>
      <c r="F30" s="1021"/>
      <c r="AX30" s="1033" t="s">
        <v>977</v>
      </c>
      <c r="AZ30" s="1033" t="s">
        <v>649</v>
      </c>
      <c r="BE30" s="1033">
        <v>2028</v>
      </c>
      <c r="BJ30" s="983" t="s">
        <v>978</v>
      </c>
      <c r="BL30" s="983" t="s">
        <v>978</v>
      </c>
    </row>
    <row r="31" spans="1:82" ht="12.75" customHeight="1">
      <c r="A31" s="989" t="s">
        <v>979</v>
      </c>
      <c r="D31" s="1014"/>
      <c r="E31" s="1015"/>
      <c r="F31" s="1015"/>
      <c r="H31" s="1022"/>
      <c r="AX31" s="1033" t="s">
        <v>980</v>
      </c>
      <c r="AZ31" s="1033" t="s">
        <v>981</v>
      </c>
      <c r="BE31" s="1033">
        <v>2029</v>
      </c>
      <c r="BJ31" s="983" t="s">
        <v>982</v>
      </c>
      <c r="BL31" s="983" t="s">
        <v>982</v>
      </c>
    </row>
    <row r="32" spans="1:82" ht="11.25" customHeight="1">
      <c r="A32" s="989" t="s">
        <v>983</v>
      </c>
      <c r="D32" s="1017" t="s">
        <v>984</v>
      </c>
      <c r="E32" s="1018">
        <f>IF(TEMPLATE_GROUP="","",INDEX(StartDateList,MATCH(TEMPLATE_GROUP,CodeTemplateList,0),1))</f>
        <v>0</v>
      </c>
      <c r="F32" s="1018">
        <f>IF(TEMPLATE_GROUP="","",INDEX(EndDateList,MATCH(TEMPLATE_GROUP,CodeTemplateList,0),1))</f>
        <v>0</v>
      </c>
      <c r="H32" s="1023" t="s">
        <v>985</v>
      </c>
      <c r="O32" s="989" t="s">
        <v>618</v>
      </c>
      <c r="AX32" s="1033" t="s">
        <v>986</v>
      </c>
      <c r="AZ32" s="1033" t="s">
        <v>717</v>
      </c>
      <c r="BE32" s="1033">
        <v>2030</v>
      </c>
      <c r="BJ32" s="983" t="s">
        <v>873</v>
      </c>
      <c r="BL32" s="983" t="s">
        <v>873</v>
      </c>
    </row>
    <row r="33" spans="1:66" ht="11.25" customHeight="1">
      <c r="A33" s="989" t="s">
        <v>987</v>
      </c>
      <c r="O33" s="989" t="s">
        <v>646</v>
      </c>
      <c r="AX33" s="1033" t="s">
        <v>988</v>
      </c>
      <c r="AZ33" s="1033" t="s">
        <v>619</v>
      </c>
      <c r="BE33" s="1033">
        <v>2031</v>
      </c>
      <c r="BJ33" s="983" t="s">
        <v>880</v>
      </c>
      <c r="BL33" s="983" t="s">
        <v>880</v>
      </c>
    </row>
    <row r="34" spans="1:66" ht="11.25" customHeight="1">
      <c r="A34" s="989" t="s">
        <v>989</v>
      </c>
      <c r="O34" s="989" t="s">
        <v>682</v>
      </c>
      <c r="AX34" s="1033" t="s">
        <v>990</v>
      </c>
      <c r="BE34" s="1033">
        <v>2032</v>
      </c>
      <c r="BJ34" s="983" t="s">
        <v>890</v>
      </c>
      <c r="BL34" s="983" t="s">
        <v>890</v>
      </c>
    </row>
    <row r="35" spans="1:66" ht="11.25" customHeight="1">
      <c r="A35" s="989" t="s">
        <v>991</v>
      </c>
      <c r="O35" s="989" t="s">
        <v>715</v>
      </c>
      <c r="AX35" s="1033" t="s">
        <v>992</v>
      </c>
      <c r="AZ35" s="982" t="s">
        <v>993</v>
      </c>
      <c r="BE35" s="1033">
        <v>2033</v>
      </c>
      <c r="BL35" s="983" t="s">
        <v>994</v>
      </c>
    </row>
    <row r="36" spans="1:66" ht="11.25" customHeight="1">
      <c r="A36" s="989" t="s">
        <v>995</v>
      </c>
      <c r="D36" s="1024" t="s">
        <v>996</v>
      </c>
      <c r="E36" s="1025" t="s">
        <v>997</v>
      </c>
      <c r="F36" s="1026" t="str">
        <f>INDEX(E37:E41,MATCH(TEMPLATE_SPHERE,F37:F41,0))</f>
        <v>холодного водоснабжения</v>
      </c>
      <c r="G36" s="1026" t="str">
        <f>INDEX(G37:G41,MATCH(TEMPLATE_SPHERE,F37:F41,0))</f>
        <v>холодное водоснабжение</v>
      </c>
      <c r="O36" s="989" t="s">
        <v>740</v>
      </c>
      <c r="AX36" s="1033" t="s">
        <v>998</v>
      </c>
      <c r="AZ36" s="1033" t="s">
        <v>619</v>
      </c>
      <c r="BE36" s="1033">
        <v>2034</v>
      </c>
      <c r="BL36" s="983" t="s">
        <v>999</v>
      </c>
    </row>
    <row r="37" spans="1:66" ht="11.25" customHeight="1">
      <c r="A37" s="989" t="s">
        <v>1000</v>
      </c>
      <c r="E37" s="337" t="s">
        <v>1001</v>
      </c>
      <c r="F37" s="1027" t="s">
        <v>607</v>
      </c>
      <c r="G37" s="337" t="s">
        <v>1002</v>
      </c>
      <c r="O37" s="989" t="s">
        <v>759</v>
      </c>
      <c r="AX37" s="1033" t="s">
        <v>1003</v>
      </c>
      <c r="AZ37" s="1033" t="s">
        <v>648</v>
      </c>
      <c r="BE37" s="1033">
        <v>2035</v>
      </c>
    </row>
    <row r="38" spans="1:66" ht="11.25" customHeight="1">
      <c r="A38" s="989" t="s">
        <v>1004</v>
      </c>
      <c r="E38" s="337" t="s">
        <v>1005</v>
      </c>
      <c r="F38" s="1028" t="s">
        <v>997</v>
      </c>
      <c r="G38" s="337" t="s">
        <v>1006</v>
      </c>
      <c r="O38" s="989" t="s">
        <v>775</v>
      </c>
      <c r="AX38" s="1033" t="s">
        <v>1007</v>
      </c>
      <c r="AZ38" s="1033" t="s">
        <v>683</v>
      </c>
      <c r="BE38" s="1033">
        <v>2036</v>
      </c>
      <c r="BH38" s="982" t="s">
        <v>1008</v>
      </c>
      <c r="BJ38" s="982" t="s">
        <v>1009</v>
      </c>
      <c r="BL38" s="982" t="s">
        <v>1010</v>
      </c>
      <c r="BN38" s="982" t="s">
        <v>1011</v>
      </c>
    </row>
    <row r="39" spans="1:66" ht="11.25" customHeight="1">
      <c r="A39" s="989" t="s">
        <v>1012</v>
      </c>
      <c r="E39" s="337" t="s">
        <v>1013</v>
      </c>
      <c r="F39" s="1028" t="s">
        <v>609</v>
      </c>
      <c r="G39" s="337" t="s">
        <v>1014</v>
      </c>
      <c r="O39" s="989" t="s">
        <v>791</v>
      </c>
      <c r="AX39" s="1033" t="s">
        <v>1015</v>
      </c>
      <c r="AZ39" s="1033" t="s">
        <v>716</v>
      </c>
      <c r="BE39" s="1033">
        <v>2037</v>
      </c>
      <c r="BH39" s="983" t="s">
        <v>1016</v>
      </c>
      <c r="BJ39" s="1131" t="s">
        <v>1016</v>
      </c>
      <c r="BL39" s="1131" t="s">
        <v>1016</v>
      </c>
      <c r="BN39" s="983" t="s">
        <v>1017</v>
      </c>
    </row>
    <row r="40" spans="1:66" ht="11.25" customHeight="1">
      <c r="A40" s="989" t="s">
        <v>1018</v>
      </c>
      <c r="E40" s="337" t="s">
        <v>1019</v>
      </c>
      <c r="F40" s="1028" t="s">
        <v>1020</v>
      </c>
      <c r="G40" s="337" t="s">
        <v>1021</v>
      </c>
      <c r="O40" s="989" t="s">
        <v>807</v>
      </c>
      <c r="AX40" s="1033" t="s">
        <v>1022</v>
      </c>
      <c r="BE40" s="1033">
        <v>2038</v>
      </c>
      <c r="BH40" s="983" t="s">
        <v>1023</v>
      </c>
      <c r="BJ40" s="1131" t="s">
        <v>1024</v>
      </c>
      <c r="BL40" s="1131" t="s">
        <v>1024</v>
      </c>
      <c r="BN40" s="983" t="s">
        <v>1025</v>
      </c>
    </row>
    <row r="41" spans="1:66" ht="11.25" customHeight="1">
      <c r="A41" s="989" t="s">
        <v>1026</v>
      </c>
      <c r="E41" s="337" t="s">
        <v>1027</v>
      </c>
      <c r="F41" s="1028" t="s">
        <v>1028</v>
      </c>
      <c r="G41" s="337" t="s">
        <v>1027</v>
      </c>
      <c r="O41" s="989" t="s">
        <v>823</v>
      </c>
      <c r="AX41" s="1033" t="s">
        <v>1029</v>
      </c>
      <c r="AZ41" s="982" t="s">
        <v>1030</v>
      </c>
      <c r="BE41" s="1033">
        <v>2039</v>
      </c>
      <c r="BH41" s="983" t="s">
        <v>1031</v>
      </c>
      <c r="BJ41" s="1131" t="s">
        <v>1032</v>
      </c>
      <c r="BL41" s="1131" t="s">
        <v>1032</v>
      </c>
      <c r="BN41" s="983" t="s">
        <v>1033</v>
      </c>
    </row>
    <row r="42" spans="1:66" ht="11.25" customHeight="1">
      <c r="A42" s="989" t="s">
        <v>1034</v>
      </c>
      <c r="AX42" s="1033" t="s">
        <v>1035</v>
      </c>
      <c r="AZ42" s="1033" t="s">
        <v>618</v>
      </c>
      <c r="BE42" s="1033">
        <v>2040</v>
      </c>
      <c r="BH42" s="983" t="s">
        <v>1036</v>
      </c>
      <c r="BJ42" s="1131" t="s">
        <v>1037</v>
      </c>
      <c r="BL42" s="1131" t="s">
        <v>1037</v>
      </c>
      <c r="BN42" s="983" t="s">
        <v>1038</v>
      </c>
    </row>
    <row r="43" spans="1:66" ht="11.25" customHeight="1">
      <c r="A43" s="989" t="s">
        <v>1039</v>
      </c>
      <c r="AX43" s="1033" t="s">
        <v>1040</v>
      </c>
      <c r="AZ43" s="1033" t="s">
        <v>646</v>
      </c>
      <c r="BE43" s="1033">
        <v>2041</v>
      </c>
      <c r="BH43" s="983" t="s">
        <v>1041</v>
      </c>
      <c r="BJ43" s="1131" t="s">
        <v>1031</v>
      </c>
      <c r="BL43" s="1131" t="s">
        <v>1031</v>
      </c>
      <c r="BN43" s="983" t="s">
        <v>1042</v>
      </c>
    </row>
    <row r="44" spans="1:66" ht="11.25" customHeight="1">
      <c r="A44" s="989" t="s">
        <v>1043</v>
      </c>
      <c r="I44" s="717" t="s">
        <v>1044</v>
      </c>
      <c r="J44" s="1004" t="s">
        <v>1045</v>
      </c>
      <c r="K44" s="1004" t="s">
        <v>1046</v>
      </c>
      <c r="AX44" s="1033" t="s">
        <v>1047</v>
      </c>
      <c r="AZ44" s="1033" t="s">
        <v>682</v>
      </c>
      <c r="BE44" s="1033">
        <v>2042</v>
      </c>
      <c r="BH44" s="983" t="s">
        <v>1048</v>
      </c>
      <c r="BJ44" s="1131" t="s">
        <v>1036</v>
      </c>
      <c r="BL44" s="1131" t="s">
        <v>1036</v>
      </c>
      <c r="BN44" s="983" t="s">
        <v>1049</v>
      </c>
    </row>
    <row r="45" spans="1:66" ht="11.25" customHeight="1">
      <c r="A45" s="989" t="s">
        <v>1050</v>
      </c>
      <c r="D45" s="1024" t="s">
        <v>1051</v>
      </c>
      <c r="E45" s="1025" t="s">
        <v>1052</v>
      </c>
      <c r="F45" s="715" t="s">
        <v>1053</v>
      </c>
      <c r="G45" s="714" t="s">
        <v>1054</v>
      </c>
      <c r="H45" s="717" t="s">
        <v>1055</v>
      </c>
      <c r="I45" s="1665" t="b">
        <f>INDEX(PeriodIsEmptyList,MATCH(TEMPLATE_GROUP,CodeTemplateList,0),1)</f>
        <v>0</v>
      </c>
      <c r="J45" s="1668" t="str">
        <f>INDEX(NameTemplatesInTitleList,MATCH(TEMPLATE_GROUP,CodeTemplateList,0),1)</f>
        <v>Общая информация о регулируемой организации (холодного водоснабжения)</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33" t="s">
        <v>1056</v>
      </c>
      <c r="AZ45" s="1033" t="s">
        <v>715</v>
      </c>
      <c r="BE45" s="1033">
        <v>2043</v>
      </c>
      <c r="BH45" s="983" t="s">
        <v>1057</v>
      </c>
      <c r="BJ45" s="1131" t="s">
        <v>1058</v>
      </c>
      <c r="BL45" s="1131" t="s">
        <v>1058</v>
      </c>
      <c r="BN45" s="983" t="s">
        <v>1059</v>
      </c>
    </row>
    <row r="46" spans="1:66" ht="11.25" customHeight="1">
      <c r="A46" s="989" t="s">
        <v>1060</v>
      </c>
      <c r="E46" s="337" t="s">
        <v>23</v>
      </c>
      <c r="F46" s="1027" t="s">
        <v>1052</v>
      </c>
      <c r="G46" s="1029"/>
      <c r="H46" s="1029"/>
      <c r="I46" s="1666" t="b">
        <f>IF(TITLE_DATE_FIL="",TRUE,FALSE)</f>
        <v>0</v>
      </c>
      <c r="J46" s="1669" t="str">
        <f>"Общая информация о регулируемой организации ("&amp;TEMPLATE_SPHERE_RUS&amp;")"</f>
        <v>Общая информация о регулируемой организации (холодного водоснабжения)</v>
      </c>
      <c r="K46" s="1670"/>
      <c r="AX46" s="1033" t="s">
        <v>1061</v>
      </c>
      <c r="AZ46" s="1033" t="s">
        <v>740</v>
      </c>
      <c r="BE46" s="1033">
        <v>2044</v>
      </c>
      <c r="BH46" s="983" t="s">
        <v>1033</v>
      </c>
      <c r="BJ46" s="1131" t="s">
        <v>1062</v>
      </c>
      <c r="BL46" s="1131" t="s">
        <v>1062</v>
      </c>
      <c r="BN46" s="983" t="s">
        <v>1063</v>
      </c>
    </row>
    <row r="47" spans="1:66" ht="11.25" customHeight="1">
      <c r="A47" s="989" t="s">
        <v>1064</v>
      </c>
      <c r="E47" s="337" t="s">
        <v>29</v>
      </c>
      <c r="F47" s="1028" t="s">
        <v>1065</v>
      </c>
      <c r="G47" s="1030" t="str">
        <f>IF(f_year="","",IF(LEN(f_quart)=0,"",IF(f_quart="I квартал","01.01."&amp;f_year,IF(f_quart="II квартал","01.04."&amp;f_year,(IF(f_quart="III квартал","01.07."&amp;f_year,"01.10."&amp;f_year))))))</f>
        <v/>
      </c>
      <c r="H47" s="1030" t="str">
        <f>IF(f_year="","",IF(LEN(f_quart)=0,"",IF(f_quart="I квартал","31.03."&amp;f_year,IF(f_quart="II квартал","30.06."&amp;f_year,(IF(f_quart="III квартал","30.09."&amp;f_year,"31.12."&amp;f_year))))))</f>
        <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0"/>
      <c r="AX47" s="1033" t="s">
        <v>1066</v>
      </c>
      <c r="AZ47" s="1033" t="s">
        <v>759</v>
      </c>
      <c r="BE47" s="1033">
        <v>2045</v>
      </c>
      <c r="BH47" s="983" t="s">
        <v>1038</v>
      </c>
      <c r="BJ47" s="1131" t="s">
        <v>1067</v>
      </c>
      <c r="BL47" s="1131" t="s">
        <v>1067</v>
      </c>
      <c r="BN47" s="983" t="s">
        <v>1068</v>
      </c>
    </row>
    <row r="48" spans="1:66" ht="11.25" customHeight="1">
      <c r="A48" s="989" t="s">
        <v>1069</v>
      </c>
      <c r="E48" s="337" t="s">
        <v>1070</v>
      </c>
      <c r="F48" s="1028" t="s">
        <v>1071</v>
      </c>
      <c r="G48" s="1030" t="str">
        <f>IF(f_year="","","01.01."&amp;f_year)</f>
        <v/>
      </c>
      <c r="H48" s="1030" t="str">
        <f>IF(f_year="","","31.12."&amp;f_year)</f>
        <v/>
      </c>
      <c r="I48" s="1666" t="b">
        <f>IF(f_year="",TRUE,FALSE)</f>
        <v>1</v>
      </c>
      <c r="J48" s="1669" t="s">
        <v>1072</v>
      </c>
      <c r="K48" s="1670"/>
      <c r="AX48" s="1033" t="s">
        <v>1073</v>
      </c>
      <c r="AZ48" s="1033" t="s">
        <v>775</v>
      </c>
      <c r="BE48" s="1033">
        <v>2046</v>
      </c>
      <c r="BH48" s="983" t="s">
        <v>1042</v>
      </c>
      <c r="BJ48" s="1131" t="s">
        <v>1074</v>
      </c>
      <c r="BL48" s="1131" t="s">
        <v>1074</v>
      </c>
      <c r="BN48" s="983" t="s">
        <v>1075</v>
      </c>
    </row>
    <row r="49" spans="1:64" ht="11.25" customHeight="1">
      <c r="A49" s="989" t="s">
        <v>1076</v>
      </c>
      <c r="E49" s="337" t="s">
        <v>1077</v>
      </c>
      <c r="F49" s="1028" t="s">
        <v>1078</v>
      </c>
      <c r="G49" s="1030" t="str">
        <f>IF(f_year="","","01.01."&amp;f_year)</f>
        <v/>
      </c>
      <c r="H49" s="1030" t="str">
        <f>IF(f_year="","","31.12."&amp;f_year)</f>
        <v/>
      </c>
      <c r="I49" s="1666" t="b">
        <f>IF(f_year="",TRUE,FALSE)</f>
        <v>1</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0"/>
      <c r="AX49" s="1033" t="s">
        <v>1079</v>
      </c>
      <c r="AZ49" s="1033" t="s">
        <v>791</v>
      </c>
      <c r="BE49" s="1033">
        <v>2047</v>
      </c>
      <c r="BH49" s="983" t="s">
        <v>1080</v>
      </c>
      <c r="BJ49" s="1131" t="s">
        <v>1081</v>
      </c>
      <c r="BL49" s="1131" t="s">
        <v>1081</v>
      </c>
    </row>
    <row r="50" spans="1:64" ht="11.25" customHeight="1">
      <c r="A50" s="989" t="s">
        <v>1082</v>
      </c>
      <c r="E50" s="337" t="s">
        <v>1083</v>
      </c>
      <c r="F50" s="1028" t="s">
        <v>1084</v>
      </c>
      <c r="G50" s="1030" t="str">
        <f>IF(f_year="","","01.01."&amp;f_year)</f>
        <v/>
      </c>
      <c r="H50" s="1030" t="str">
        <f>IF(f_year="","","31.12."&amp;f_year)</f>
        <v/>
      </c>
      <c r="I50" s="1666" t="b">
        <f>IF(f_year="",TRUE,FALSE)</f>
        <v>1</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0"/>
      <c r="AX50" s="1033" t="s">
        <v>1085</v>
      </c>
      <c r="AZ50" s="1033" t="s">
        <v>807</v>
      </c>
      <c r="BE50" s="1033">
        <v>2048</v>
      </c>
      <c r="BH50" s="983" t="s">
        <v>1049</v>
      </c>
      <c r="BJ50" s="1131" t="s">
        <v>1086</v>
      </c>
      <c r="BL50" s="1131" t="s">
        <v>1086</v>
      </c>
    </row>
    <row r="51" spans="1:64" ht="11.25" customHeight="1">
      <c r="A51" s="989" t="s">
        <v>1087</v>
      </c>
      <c r="E51" s="337" t="s">
        <v>1088</v>
      </c>
      <c r="F51" s="1028" t="s">
        <v>1089</v>
      </c>
      <c r="G51" s="1030" t="str">
        <f>IF(TITLE_PERIOD_START="","",TITLE_PERIOD_START)</f>
        <v/>
      </c>
      <c r="H51" s="1030" t="str">
        <f>IF(TITLE_PERIOD_END="","",TITLE_PERIOD_END)</f>
        <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33" t="s">
        <v>1090</v>
      </c>
      <c r="AZ51" s="1033" t="s">
        <v>823</v>
      </c>
      <c r="BE51" s="1033">
        <v>2049</v>
      </c>
      <c r="BH51" s="983" t="s">
        <v>1059</v>
      </c>
      <c r="BJ51" s="1131" t="s">
        <v>1091</v>
      </c>
      <c r="BL51" s="1131" t="s">
        <v>1091</v>
      </c>
    </row>
    <row r="52" spans="1:64" ht="11.25" customHeight="1">
      <c r="A52" s="989" t="s">
        <v>1092</v>
      </c>
      <c r="E52" s="337" t="s">
        <v>1093</v>
      </c>
      <c r="F52" s="1028" t="s">
        <v>1094</v>
      </c>
      <c r="G52" s="1030" t="str">
        <f>IF(TITLE_PERIOD_START="","",TITLE_PERIOD_START)</f>
        <v/>
      </c>
      <c r="H52" s="1030" t="str">
        <f>IF(TITLE_PERIOD_END="","",TITLE_PERIOD_END)</f>
        <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0"/>
      <c r="AX52" s="1033" t="s">
        <v>1095</v>
      </c>
      <c r="AZ52" s="1033" t="s">
        <v>619</v>
      </c>
      <c r="BE52" s="1033">
        <v>2050</v>
      </c>
      <c r="BH52" s="983" t="s">
        <v>1063</v>
      </c>
      <c r="BJ52" s="1131" t="s">
        <v>1033</v>
      </c>
      <c r="BL52" s="1131" t="s">
        <v>1033</v>
      </c>
    </row>
    <row r="53" spans="1:64" ht="11.25" customHeight="1">
      <c r="A53" s="989" t="s">
        <v>1096</v>
      </c>
      <c r="E53" s="337" t="s">
        <v>1097</v>
      </c>
      <c r="F53" s="1028" t="s">
        <v>1097</v>
      </c>
      <c r="G53" s="1030" t="str">
        <f>IF(f_year="","","01.01."&amp;f_year)</f>
        <v/>
      </c>
      <c r="H53" s="1030" t="str">
        <f>IF(f_year="","","31.12."&amp;f_year)</f>
        <v/>
      </c>
      <c r="I53" s="1666" t="b">
        <f>IF(AND(f_year="",TITLE_DATE_FIL=""),TRUE,FALSE)</f>
        <v>0</v>
      </c>
      <c r="J53" s="1669" t="s">
        <v>1098</v>
      </c>
      <c r="K53" s="1670"/>
      <c r="AX53" s="1033" t="s">
        <v>1099</v>
      </c>
      <c r="BE53" s="1033">
        <v>2051</v>
      </c>
      <c r="BH53" s="983" t="s">
        <v>1068</v>
      </c>
      <c r="BJ53" s="1131" t="s">
        <v>1038</v>
      </c>
      <c r="BL53" s="1131" t="s">
        <v>1038</v>
      </c>
    </row>
    <row r="54" spans="1:64" ht="11.25" customHeight="1">
      <c r="A54" s="989" t="s">
        <v>1100</v>
      </c>
      <c r="AX54" s="1033" t="s">
        <v>1101</v>
      </c>
      <c r="AZ54" s="982" t="s">
        <v>1102</v>
      </c>
      <c r="BE54" s="1033">
        <v>2052</v>
      </c>
      <c r="BH54" s="983" t="s">
        <v>1075</v>
      </c>
      <c r="BJ54" s="1131" t="s">
        <v>1042</v>
      </c>
      <c r="BL54" s="1131" t="s">
        <v>1042</v>
      </c>
    </row>
    <row r="55" spans="1:64" ht="11.25" customHeight="1">
      <c r="A55" s="989" t="s">
        <v>1103</v>
      </c>
      <c r="AX55" s="1033" t="s">
        <v>1104</v>
      </c>
      <c r="AZ55" s="1033" t="s">
        <v>621</v>
      </c>
      <c r="BE55" s="1033">
        <v>2053</v>
      </c>
      <c r="BH55" s="985" t="s">
        <v>18</v>
      </c>
      <c r="BJ55" s="1131" t="s">
        <v>1080</v>
      </c>
      <c r="BL55" s="1131" t="s">
        <v>1080</v>
      </c>
    </row>
    <row r="56" spans="1:64" ht="11.25" customHeight="1">
      <c r="A56" s="989" t="s">
        <v>1105</v>
      </c>
      <c r="D56" s="1032" t="s">
        <v>1106</v>
      </c>
      <c r="E56" s="1009">
        <v>55</v>
      </c>
      <c r="F56" s="989" t="s">
        <v>1107</v>
      </c>
      <c r="AX56" s="1033" t="s">
        <v>1108</v>
      </c>
      <c r="AZ56" s="1033" t="s">
        <v>650</v>
      </c>
      <c r="BE56" s="1033">
        <v>2054</v>
      </c>
      <c r="BH56" s="985" t="s">
        <v>18</v>
      </c>
      <c r="BJ56" s="1131" t="s">
        <v>1049</v>
      </c>
      <c r="BL56" s="1131" t="s">
        <v>1049</v>
      </c>
    </row>
    <row r="57" spans="1:64" ht="11.25" customHeight="1">
      <c r="A57" s="989" t="s">
        <v>1109</v>
      </c>
      <c r="D57" s="1032" t="s">
        <v>1110</v>
      </c>
      <c r="E57" s="1009">
        <v>66</v>
      </c>
      <c r="F57" s="989" t="s">
        <v>1107</v>
      </c>
      <c r="AX57" s="1033" t="s">
        <v>1111</v>
      </c>
      <c r="AZ57" s="1033" t="s">
        <v>685</v>
      </c>
      <c r="BE57" s="1033">
        <v>2055</v>
      </c>
      <c r="BJ57" s="1131" t="s">
        <v>1059</v>
      </c>
      <c r="BL57" s="1131" t="s">
        <v>1059</v>
      </c>
    </row>
    <row r="58" spans="1:64" ht="11.25" customHeight="1">
      <c r="A58" s="989" t="s">
        <v>1112</v>
      </c>
      <c r="D58" s="1032" t="s">
        <v>1113</v>
      </c>
      <c r="E58" s="1009">
        <v>44</v>
      </c>
      <c r="F58" s="989" t="s">
        <v>1107</v>
      </c>
      <c r="AX58" s="1033" t="s">
        <v>1114</v>
      </c>
      <c r="BE58" s="1033">
        <v>2056</v>
      </c>
      <c r="BJ58" s="1131" t="s">
        <v>1063</v>
      </c>
      <c r="BL58" s="1131" t="s">
        <v>1063</v>
      </c>
    </row>
    <row r="59" spans="1:64" ht="11.25" customHeight="1">
      <c r="A59" s="989" t="s">
        <v>1115</v>
      </c>
      <c r="D59" s="1032" t="s">
        <v>127</v>
      </c>
      <c r="E59" s="1009" t="s">
        <v>921</v>
      </c>
      <c r="F59" s="989" t="s">
        <v>1116</v>
      </c>
      <c r="AX59" s="1033" t="s">
        <v>1117</v>
      </c>
      <c r="AZ59" s="982" t="s">
        <v>1118</v>
      </c>
      <c r="BE59" s="1033">
        <v>2057</v>
      </c>
      <c r="BJ59" s="1131" t="s">
        <v>1068</v>
      </c>
      <c r="BL59" s="1131" t="s">
        <v>1068</v>
      </c>
    </row>
    <row r="60" spans="1:64" ht="11.25" customHeight="1">
      <c r="A60" s="989" t="s">
        <v>1119</v>
      </c>
      <c r="D60" s="1032" t="s">
        <v>1120</v>
      </c>
      <c r="E60" s="1009" t="s">
        <v>921</v>
      </c>
      <c r="F60" s="989" t="s">
        <v>1116</v>
      </c>
      <c r="AX60" s="1033" t="s">
        <v>1121</v>
      </c>
      <c r="AZ60" s="1033" t="s">
        <v>622</v>
      </c>
      <c r="BE60" s="1033">
        <v>2058</v>
      </c>
      <c r="BJ60" s="1131" t="s">
        <v>1075</v>
      </c>
      <c r="BL60" s="1131" t="s">
        <v>1075</v>
      </c>
    </row>
    <row r="61" spans="1:64" ht="11.25" customHeight="1">
      <c r="A61" s="989" t="s">
        <v>1122</v>
      </c>
      <c r="D61" s="1032" t="s">
        <v>1123</v>
      </c>
      <c r="E61" s="1009">
        <v>26</v>
      </c>
      <c r="F61" s="989" t="s">
        <v>1116</v>
      </c>
      <c r="AX61" s="1033" t="s">
        <v>1124</v>
      </c>
      <c r="AZ61" s="1033" t="s">
        <v>651</v>
      </c>
      <c r="BE61" s="1033">
        <v>2059</v>
      </c>
      <c r="BL61" s="1131" t="s">
        <v>1125</v>
      </c>
    </row>
    <row r="62" spans="1:64" ht="11.25" customHeight="1">
      <c r="A62" s="989" t="s">
        <v>1126</v>
      </c>
      <c r="D62" s="1032" t="s">
        <v>126</v>
      </c>
      <c r="E62" s="1009">
        <v>30</v>
      </c>
      <c r="F62" s="989" t="s">
        <v>1116</v>
      </c>
      <c r="AZ62" s="1033" t="s">
        <v>686</v>
      </c>
      <c r="BE62" s="1033">
        <v>2060</v>
      </c>
      <c r="BL62" s="1131" t="s">
        <v>1127</v>
      </c>
    </row>
    <row r="63" spans="1:64" ht="11.25" customHeight="1">
      <c r="A63" s="989" t="s">
        <v>1128</v>
      </c>
      <c r="D63" s="1032" t="s">
        <v>1129</v>
      </c>
      <c r="E63" s="1009">
        <v>30</v>
      </c>
      <c r="F63" s="989" t="s">
        <v>1116</v>
      </c>
      <c r="AZ63" s="1033" t="s">
        <v>718</v>
      </c>
      <c r="BE63" s="1033">
        <v>2061</v>
      </c>
    </row>
    <row r="64" spans="1:64" ht="11.25" customHeight="1">
      <c r="A64" s="989" t="s">
        <v>1130</v>
      </c>
      <c r="D64" s="1032" t="s">
        <v>1131</v>
      </c>
      <c r="E64" s="1009">
        <v>30</v>
      </c>
      <c r="F64" s="989" t="s">
        <v>1116</v>
      </c>
      <c r="AZ64" s="1033" t="s">
        <v>741</v>
      </c>
      <c r="BE64" s="1033">
        <v>2062</v>
      </c>
    </row>
    <row r="65" spans="1:66" ht="11.25" customHeight="1">
      <c r="A65" s="989" t="s">
        <v>1132</v>
      </c>
      <c r="D65" s="989"/>
      <c r="BE65" s="1033">
        <v>2063</v>
      </c>
    </row>
    <row r="66" spans="1:66" ht="11.25" customHeight="1">
      <c r="A66" s="989" t="s">
        <v>1133</v>
      </c>
      <c r="AZ66" s="982" t="s">
        <v>1134</v>
      </c>
      <c r="BE66" s="1033">
        <v>2064</v>
      </c>
    </row>
    <row r="67" spans="1:66" ht="11.25" customHeight="1">
      <c r="A67" s="989" t="s">
        <v>1135</v>
      </c>
      <c r="AZ67" s="1033" t="s">
        <v>623</v>
      </c>
      <c r="BE67" s="1033">
        <v>2065</v>
      </c>
    </row>
    <row r="68" spans="1:66" ht="11.25" customHeight="1">
      <c r="A68" s="989" t="s">
        <v>1136</v>
      </c>
      <c r="AZ68" s="1033" t="s">
        <v>652</v>
      </c>
      <c r="BE68" s="1033">
        <v>2066</v>
      </c>
      <c r="BH68" s="982" t="s">
        <v>1137</v>
      </c>
      <c r="BJ68" s="982" t="s">
        <v>1138</v>
      </c>
      <c r="BL68" s="982" t="s">
        <v>1139</v>
      </c>
      <c r="BN68" s="982" t="s">
        <v>1140</v>
      </c>
    </row>
    <row r="69" spans="1:66" ht="11.25" customHeight="1">
      <c r="A69" s="989" t="s">
        <v>1141</v>
      </c>
      <c r="AZ69" s="1033" t="s">
        <v>687</v>
      </c>
      <c r="BE69" s="1033">
        <v>2067</v>
      </c>
      <c r="BH69" s="983" t="s">
        <v>1142</v>
      </c>
      <c r="BI69" s="1031" t="s">
        <v>105</v>
      </c>
      <c r="BJ69" s="983" t="s">
        <v>1143</v>
      </c>
      <c r="BK69" s="1031" t="s">
        <v>105</v>
      </c>
      <c r="BL69" s="983" t="s">
        <v>1144</v>
      </c>
      <c r="BN69" s="983" t="s">
        <v>1145</v>
      </c>
    </row>
    <row r="70" spans="1:66" ht="11.25" customHeight="1">
      <c r="A70" s="989" t="s">
        <v>1146</v>
      </c>
      <c r="AZ70" s="1033" t="s">
        <v>719</v>
      </c>
      <c r="BE70" s="1033">
        <v>2068</v>
      </c>
      <c r="BH70" s="983" t="s">
        <v>1147</v>
      </c>
      <c r="BJ70" s="983" t="s">
        <v>1148</v>
      </c>
      <c r="BL70" s="983" t="s">
        <v>1149</v>
      </c>
      <c r="BN70" s="983" t="s">
        <v>1150</v>
      </c>
    </row>
    <row r="71" spans="1:66" ht="11.25" customHeight="1">
      <c r="A71" s="989" t="s">
        <v>1151</v>
      </c>
      <c r="AZ71" s="1033" t="s">
        <v>721</v>
      </c>
      <c r="BE71" s="1033">
        <v>2069</v>
      </c>
      <c r="BH71" s="983" t="s">
        <v>1152</v>
      </c>
      <c r="BI71" s="1031" t="s">
        <v>89</v>
      </c>
      <c r="BJ71" s="983" t="s">
        <v>1153</v>
      </c>
      <c r="BK71" s="1031" t="s">
        <v>89</v>
      </c>
      <c r="BL71" s="983" t="s">
        <v>1154</v>
      </c>
      <c r="BN71" s="983" t="s">
        <v>1155</v>
      </c>
    </row>
    <row r="72" spans="1:66" ht="11.25" customHeight="1">
      <c r="A72" s="989" t="s">
        <v>1156</v>
      </c>
      <c r="AZ72" s="1033" t="s">
        <v>56</v>
      </c>
      <c r="BE72" s="1033">
        <v>2070</v>
      </c>
      <c r="BH72" s="983" t="s">
        <v>1157</v>
      </c>
      <c r="BJ72" s="983" t="s">
        <v>1157</v>
      </c>
      <c r="BL72" s="983" t="s">
        <v>1157</v>
      </c>
      <c r="BN72" s="983" t="s">
        <v>1158</v>
      </c>
    </row>
    <row r="73" spans="1:66" ht="11.25" customHeight="1">
      <c r="A73" s="989" t="s">
        <v>1159</v>
      </c>
      <c r="BH73" s="983" t="s">
        <v>1160</v>
      </c>
      <c r="BI73" s="1031" t="s">
        <v>107</v>
      </c>
      <c r="BJ73" s="983" t="s">
        <v>1161</v>
      </c>
      <c r="BK73" s="1031" t="s">
        <v>107</v>
      </c>
      <c r="BL73" s="983" t="s">
        <v>1162</v>
      </c>
      <c r="BN73" s="983" t="s">
        <v>1163</v>
      </c>
    </row>
    <row r="74" spans="1:66" ht="11.25" customHeight="1">
      <c r="A74" s="989" t="s">
        <v>1164</v>
      </c>
      <c r="BH74" s="983" t="s">
        <v>1165</v>
      </c>
      <c r="BJ74" s="983" t="s">
        <v>1166</v>
      </c>
      <c r="BL74" s="983" t="s">
        <v>1167</v>
      </c>
      <c r="BN74" s="983" t="s">
        <v>1168</v>
      </c>
    </row>
    <row r="75" spans="1:66" ht="11.25" customHeight="1">
      <c r="A75" s="989" t="s">
        <v>1169</v>
      </c>
      <c r="AZ75" s="982" t="s">
        <v>1170</v>
      </c>
      <c r="BH75" s="983" t="s">
        <v>1171</v>
      </c>
      <c r="BJ75" s="983" t="s">
        <v>1171</v>
      </c>
      <c r="BL75" s="983" t="s">
        <v>1171</v>
      </c>
    </row>
    <row r="76" spans="1:66" ht="11.25" customHeight="1">
      <c r="A76" s="989" t="s">
        <v>1172</v>
      </c>
      <c r="AZ76" s="1033" t="s">
        <v>632</v>
      </c>
      <c r="BH76" s="983" t="s">
        <v>1173</v>
      </c>
      <c r="BJ76" s="983" t="s">
        <v>1174</v>
      </c>
      <c r="BL76" s="983" t="s">
        <v>1175</v>
      </c>
    </row>
    <row r="77" spans="1:66" ht="11.25" customHeight="1">
      <c r="A77" s="989" t="s">
        <v>1176</v>
      </c>
      <c r="AZ77" s="1033" t="s">
        <v>662</v>
      </c>
    </row>
    <row r="78" spans="1:66" ht="11.25" customHeight="1">
      <c r="A78" s="989" t="s">
        <v>1177</v>
      </c>
      <c r="AZ78" s="1033" t="s">
        <v>694</v>
      </c>
    </row>
    <row r="79" spans="1:66" ht="11.25" customHeight="1">
      <c r="A79" s="989" t="s">
        <v>1178</v>
      </c>
      <c r="AZ79" s="1033" t="s">
        <v>725</v>
      </c>
      <c r="BH79" s="982" t="s">
        <v>1179</v>
      </c>
      <c r="BJ79" s="982" t="s">
        <v>1180</v>
      </c>
      <c r="BL79" s="982" t="s">
        <v>1181</v>
      </c>
    </row>
    <row r="80" spans="1:66" ht="11.25" customHeight="1">
      <c r="A80" s="989" t="s">
        <v>1182</v>
      </c>
      <c r="AZ80" s="1033" t="s">
        <v>746</v>
      </c>
      <c r="BH80" s="983" t="s">
        <v>1183</v>
      </c>
      <c r="BJ80" s="983" t="s">
        <v>1184</v>
      </c>
      <c r="BL80" s="983" t="s">
        <v>1185</v>
      </c>
    </row>
    <row r="81" spans="1:66" ht="11.25" customHeight="1">
      <c r="A81" s="989" t="s">
        <v>1186</v>
      </c>
      <c r="AZ81" s="1033" t="s">
        <v>763</v>
      </c>
      <c r="BH81" s="983" t="s">
        <v>1187</v>
      </c>
      <c r="BJ81" s="983" t="s">
        <v>1188</v>
      </c>
      <c r="BL81" s="983" t="s">
        <v>1189</v>
      </c>
    </row>
    <row r="82" spans="1:66" ht="11.25" customHeight="1">
      <c r="A82" s="989" t="s">
        <v>1190</v>
      </c>
      <c r="AZ82" s="1033" t="s">
        <v>777</v>
      </c>
      <c r="BH82" s="983" t="s">
        <v>1191</v>
      </c>
      <c r="BJ82" s="983" t="s">
        <v>1192</v>
      </c>
      <c r="BL82" s="983" t="s">
        <v>1193</v>
      </c>
    </row>
    <row r="83" spans="1:66" ht="11.25" customHeight="1">
      <c r="A83" s="989" t="s">
        <v>1194</v>
      </c>
      <c r="BH83" s="983" t="s">
        <v>1195</v>
      </c>
      <c r="BJ83" s="983" t="s">
        <v>1196</v>
      </c>
      <c r="BL83" s="983" t="s">
        <v>1197</v>
      </c>
    </row>
    <row r="84" spans="1:66" ht="11.25" customHeight="1">
      <c r="A84" s="989" t="s">
        <v>1198</v>
      </c>
      <c r="AZ84" s="982" t="s">
        <v>1199</v>
      </c>
    </row>
    <row r="85" spans="1:66" ht="11.25" customHeight="1">
      <c r="A85" s="989" t="s">
        <v>1200</v>
      </c>
      <c r="AZ85" s="1033" t="s">
        <v>1201</v>
      </c>
    </row>
    <row r="86" spans="1:66" ht="11.25" customHeight="1">
      <c r="A86" s="989" t="s">
        <v>1202</v>
      </c>
      <c r="AZ86" s="1033" t="s">
        <v>1203</v>
      </c>
      <c r="BH86" s="982" t="s">
        <v>1204</v>
      </c>
      <c r="BJ86" s="982" t="s">
        <v>1205</v>
      </c>
      <c r="BL86" s="982" t="s">
        <v>1206</v>
      </c>
    </row>
    <row r="87" spans="1:66" ht="11.25" customHeight="1">
      <c r="A87" s="989" t="s">
        <v>1207</v>
      </c>
      <c r="AZ87" s="1033" t="s">
        <v>1208</v>
      </c>
      <c r="BH87" s="983" t="s">
        <v>1209</v>
      </c>
      <c r="BJ87" s="983" t="s">
        <v>1210</v>
      </c>
      <c r="BL87" s="983" t="s">
        <v>1211</v>
      </c>
    </row>
    <row r="88" spans="1:66" ht="11.25" customHeight="1">
      <c r="AZ88"/>
      <c r="BH88" s="983" t="s">
        <v>1212</v>
      </c>
      <c r="BJ88" s="983" t="s">
        <v>1213</v>
      </c>
      <c r="BL88" s="983" t="s">
        <v>1214</v>
      </c>
    </row>
    <row r="89" spans="1:66" ht="11.25" customHeight="1">
      <c r="AZ89" s="982" t="s">
        <v>1215</v>
      </c>
    </row>
    <row r="90" spans="1:66" ht="11.25" customHeight="1">
      <c r="AZ90" s="1033" t="s">
        <v>1084</v>
      </c>
    </row>
    <row r="91" spans="1:66" ht="11.25" customHeight="1">
      <c r="AZ91" s="1033" t="s">
        <v>1216</v>
      </c>
      <c r="BH91" s="982" t="s">
        <v>1217</v>
      </c>
      <c r="BJ91" s="982" t="s">
        <v>1218</v>
      </c>
      <c r="BL91" s="982" t="s">
        <v>1219</v>
      </c>
    </row>
    <row r="92" spans="1:66" ht="11.25" customHeight="1">
      <c r="AZ92" s="1033" t="s">
        <v>1220</v>
      </c>
      <c r="BH92" s="983" t="s">
        <v>1221</v>
      </c>
      <c r="BJ92" s="983" t="s">
        <v>1222</v>
      </c>
      <c r="BL92" s="983" t="s">
        <v>1223</v>
      </c>
    </row>
    <row r="93" spans="1:66" ht="11.25" customHeight="1">
      <c r="AZ93" s="1033" t="s">
        <v>1224</v>
      </c>
      <c r="BH93" s="983" t="s">
        <v>1225</v>
      </c>
      <c r="BJ93" s="983" t="s">
        <v>1226</v>
      </c>
      <c r="BL93" s="983" t="s">
        <v>1227</v>
      </c>
    </row>
    <row r="94" spans="1:66" ht="11.25" customHeight="1">
      <c r="AZ94" s="1033" t="s">
        <v>1228</v>
      </c>
    </row>
    <row r="96" spans="1:66" ht="11.25" customHeight="1">
      <c r="AZ96" s="982" t="s">
        <v>1229</v>
      </c>
      <c r="BH96" s="982" t="s">
        <v>1230</v>
      </c>
      <c r="BJ96" s="982" t="s">
        <v>1231</v>
      </c>
      <c r="BL96" s="982" t="s">
        <v>1232</v>
      </c>
      <c r="BN96" s="982" t="s">
        <v>1233</v>
      </c>
    </row>
    <row r="97" spans="52:66" ht="11.25" customHeight="1">
      <c r="AZ97" s="1033" t="s">
        <v>1234</v>
      </c>
      <c r="BH97" s="983" t="s">
        <v>1235</v>
      </c>
      <c r="BJ97" s="983" t="s">
        <v>1236</v>
      </c>
      <c r="BL97" s="983" t="s">
        <v>1237</v>
      </c>
      <c r="BN97" s="983" t="s">
        <v>1238</v>
      </c>
    </row>
    <row r="98" spans="52:66" ht="11.25" customHeight="1">
      <c r="AZ98" s="1033" t="s">
        <v>1239</v>
      </c>
      <c r="BH98" s="983" t="s">
        <v>1240</v>
      </c>
      <c r="BJ98" s="983" t="s">
        <v>1241</v>
      </c>
      <c r="BL98" s="983" t="s">
        <v>1242</v>
      </c>
      <c r="BN98" s="983" t="s">
        <v>1243</v>
      </c>
    </row>
    <row r="99" spans="52:66" ht="11.25" customHeight="1">
      <c r="AZ99" s="1033" t="s">
        <v>1244</v>
      </c>
      <c r="BH99" s="983" t="s">
        <v>1245</v>
      </c>
      <c r="BJ99" s="983" t="s">
        <v>1246</v>
      </c>
      <c r="BL99" s="983" t="s">
        <v>1247</v>
      </c>
      <c r="BN99" s="983" t="s">
        <v>1248</v>
      </c>
    </row>
    <row r="100" spans="52:66" ht="11.25" customHeight="1">
      <c r="BJ100" s="983" t="s">
        <v>823</v>
      </c>
      <c r="BL100" s="983" t="s">
        <v>823</v>
      </c>
      <c r="BN100" s="983" t="s">
        <v>1249</v>
      </c>
    </row>
    <row r="101" spans="52:66" ht="11.25" customHeight="1">
      <c r="AZ101" s="1616" t="s">
        <v>1250</v>
      </c>
      <c r="BN101" s="983" t="s">
        <v>1251</v>
      </c>
    </row>
    <row r="102" spans="52:66" ht="11.25" customHeight="1">
      <c r="AZ102" s="1033" t="s">
        <v>1252</v>
      </c>
      <c r="BN102" s="983" t="s">
        <v>1253</v>
      </c>
    </row>
    <row r="103" spans="52:66" ht="11.25" customHeight="1">
      <c r="AZ103" s="1033" t="s">
        <v>1254</v>
      </c>
      <c r="BN103" s="983" t="s">
        <v>1255</v>
      </c>
    </row>
    <row r="104" spans="52:66" ht="11.25" customHeight="1">
      <c r="AZ104" s="1033" t="s">
        <v>1256</v>
      </c>
      <c r="BN104" s="983" t="s">
        <v>1257</v>
      </c>
    </row>
    <row r="107" spans="52:66" ht="11.25" customHeight="1">
      <c r="BH107" s="982" t="s">
        <v>1258</v>
      </c>
      <c r="BJ107" s="982" t="s">
        <v>1259</v>
      </c>
      <c r="BL107" s="982" t="s">
        <v>1260</v>
      </c>
      <c r="BN107" s="982" t="s">
        <v>1261</v>
      </c>
    </row>
    <row r="108" spans="52:66" ht="11.25" customHeight="1">
      <c r="BH108" s="983" t="s">
        <v>1262</v>
      </c>
      <c r="BJ108" s="983" t="s">
        <v>1263</v>
      </c>
      <c r="BL108" s="983" t="s">
        <v>909</v>
      </c>
      <c r="BN108" s="983" t="s">
        <v>1264</v>
      </c>
    </row>
    <row r="109" spans="52:66" ht="11.25" customHeight="1">
      <c r="BH109" s="983" t="s">
        <v>1265</v>
      </c>
    </row>
    <row r="110" spans="52:66" ht="11.25" customHeight="1">
      <c r="BH110" s="983" t="s">
        <v>1265</v>
      </c>
    </row>
    <row r="114" spans="60:60" ht="11.25" customHeight="1">
      <c r="BH114" s="982" t="s">
        <v>1266</v>
      </c>
    </row>
    <row r="115" spans="60:60" ht="11.25" customHeight="1">
      <c r="BH115" s="983" t="s">
        <v>619</v>
      </c>
    </row>
    <row r="116" spans="60:60" ht="11.25" customHeight="1">
      <c r="BH116" s="983" t="s">
        <v>648</v>
      </c>
    </row>
    <row r="117" spans="60:60" ht="11.25" customHeight="1">
      <c r="BH117" s="983" t="s">
        <v>683</v>
      </c>
    </row>
    <row r="118" spans="60:60" ht="11.25" customHeight="1">
      <c r="BH118" s="983" t="s">
        <v>716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3" width="43.09765625" style="758"/>
    <col min="4" max="5" width="36.3984375" style="758" customWidth="1"/>
    <col min="6" max="8" width="36.3984375" style="897" customWidth="1"/>
  </cols>
  <sheetData>
    <row r="1" spans="1:8" ht="9" customHeight="1">
      <c r="A1" s="764" t="s">
        <v>1267</v>
      </c>
      <c r="B1" s="764"/>
      <c r="C1" s="898" t="s">
        <v>1268</v>
      </c>
      <c r="D1" s="896" t="s">
        <v>607</v>
      </c>
      <c r="E1" s="896" t="s">
        <v>997</v>
      </c>
      <c r="F1" s="896" t="s">
        <v>609</v>
      </c>
      <c r="G1" s="896" t="s">
        <v>1020</v>
      </c>
      <c r="H1" s="896" t="s">
        <v>1028</v>
      </c>
    </row>
    <row r="2" spans="1:8" ht="9" customHeight="1">
      <c r="A2" s="899" t="s">
        <v>1269</v>
      </c>
      <c r="B2" s="899"/>
      <c r="C2" s="900" t="str">
        <f>INDEX(TEMPLATE_NUMBER_FORM_LIST,MATCH(TEMPLATE_SPHERE,TEMPLATE_SPHERE_LIST,0))</f>
        <v>10</v>
      </c>
      <c r="D2" s="899" t="s">
        <v>875</v>
      </c>
      <c r="E2" s="899" t="s">
        <v>145</v>
      </c>
      <c r="F2" s="901" t="s">
        <v>145</v>
      </c>
      <c r="G2" s="899" t="s">
        <v>145</v>
      </c>
      <c r="H2" s="902"/>
    </row>
    <row r="3" spans="1:8" ht="63" customHeight="1">
      <c r="A3" s="764"/>
      <c r="B3" s="764" t="s">
        <v>105</v>
      </c>
      <c r="C3" s="900" t="str">
        <f>IF(TEMPLATE_SPHERE="HEAT",D3,IF(TEMPLATE_SPHERE="TKO",H3,E3))</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00" t="s">
        <v>1270</v>
      </c>
      <c r="E3" s="900" t="str">
        <f>"Форма 10.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01"/>
      <c r="G3" s="902"/>
      <c r="H3" s="764"/>
    </row>
    <row r="4" spans="1:8" ht="54" customHeight="1">
      <c r="A4" s="764" t="s">
        <v>1271</v>
      </c>
      <c r="B4" s="764" t="s">
        <v>106</v>
      </c>
      <c r="C4" s="900" t="str">
        <f>IF(TEMPLATE_SPHERE="HEAT",D4,IF(TEMPLATE_SPHERE="TKO",H4,E4))</f>
        <v>Форма 1. Информация о регулируемой организации, осуществляющей холодное водоснабжение
(далее – регулируемая организация) (общая информация)</v>
      </c>
      <c r="D4" s="899" t="s">
        <v>1272</v>
      </c>
      <c r="E4" s="900" t="str">
        <f>"Форма 1. Информация о регулируемой организации, осуществляющей "&amp;TEMPLATE_SPHERE_RUS_2&amp;"
(далее – регулируемая организация) (общая информация)"</f>
        <v>Форма 1. Информация о регулируемой организации, осуществляющей холодное водоснабжение
(далее – регулируемая организация) (общая информация)</v>
      </c>
      <c r="F4" s="899"/>
      <c r="G4" s="899"/>
      <c r="H4" s="764" t="s">
        <v>1273</v>
      </c>
    </row>
    <row r="5" spans="1:8" ht="171" customHeight="1">
      <c r="A5" s="764" t="s">
        <v>1274</v>
      </c>
      <c r="B5" s="764" t="s">
        <v>89</v>
      </c>
      <c r="C5" s="900" t="str">
        <f>IF(TEMPLATE_SPHERE="HEAT",D5,IF(TEMPLATE_SPHERE="TKO",H5,E5))</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64" t="s">
        <v>1275</v>
      </c>
      <c r="E5" s="767" t="str">
        <f>"Форма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02"/>
      <c r="G5" s="902"/>
      <c r="H5" s="764" t="s">
        <v>1276</v>
      </c>
    </row>
    <row r="6" spans="1:8" ht="90" customHeight="1">
      <c r="A6" s="764" t="s">
        <v>1277</v>
      </c>
      <c r="B6" s="764" t="s">
        <v>90</v>
      </c>
      <c r="C6" s="900" t="str">
        <f>IF(TEMPLATE_SPHERE="HEAT",D6,E6)</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D6" s="764" t="s">
        <v>1278</v>
      </c>
      <c r="E6" s="767" t="str">
        <f>"Форма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"&amp;TEMPLATE_SPHERE_RUS&amp;")"</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6" s="764"/>
      <c r="G6" s="764"/>
      <c r="H6" s="902"/>
    </row>
    <row r="7" spans="1:8" ht="45" customHeight="1">
      <c r="A7" s="764" t="s">
        <v>1279</v>
      </c>
      <c r="B7" s="764" t="s">
        <v>107</v>
      </c>
      <c r="C7" s="900" t="str">
        <f>IF(TEMPLATE_SPHERE="HEAT",D7,E7)</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4" t="s">
        <v>1280</v>
      </c>
      <c r="E7" s="764" t="s">
        <v>1281</v>
      </c>
      <c r="F7" s="902"/>
      <c r="G7" s="902"/>
      <c r="H7" s="902"/>
    </row>
    <row r="8" spans="1:8" ht="108" customHeight="1">
      <c r="A8" s="764" t="s">
        <v>1282</v>
      </c>
      <c r="B8" s="764" t="s">
        <v>91</v>
      </c>
      <c r="C8" s="900" t="str">
        <f>IF(TEMPLATE_SPHERE="HEAT",D8,E8)</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D8" s="764" t="s">
        <v>1283</v>
      </c>
      <c r="E8" s="764" t="s">
        <v>1284</v>
      </c>
      <c r="F8" s="902"/>
      <c r="G8" s="902"/>
      <c r="H8" s="902"/>
    </row>
    <row r="9" spans="1:8" ht="99" customHeight="1">
      <c r="A9" s="764" t="s">
        <v>1285</v>
      </c>
      <c r="B9" s="764"/>
      <c r="C9" s="764" t="s">
        <v>1286</v>
      </c>
      <c r="D9" s="764"/>
      <c r="E9" s="764"/>
      <c r="F9" s="902"/>
      <c r="G9" s="902"/>
      <c r="H9" s="902"/>
    </row>
    <row r="10" spans="1:8" ht="126" customHeight="1">
      <c r="A10" s="764" t="s">
        <v>1287</v>
      </c>
      <c r="B10" s="764"/>
      <c r="C10" s="764" t="s">
        <v>1288</v>
      </c>
      <c r="D10" s="764"/>
      <c r="E10" s="764"/>
      <c r="F10" s="902"/>
      <c r="G10" s="902"/>
      <c r="H10" s="902"/>
    </row>
    <row r="11" spans="1:8" ht="108" customHeight="1">
      <c r="A11" s="764" t="s">
        <v>1289</v>
      </c>
      <c r="B11" s="764"/>
      <c r="C11" s="764" t="s">
        <v>1290</v>
      </c>
      <c r="D11" s="764"/>
      <c r="E11" s="764"/>
      <c r="F11" s="902"/>
      <c r="G11" s="902"/>
      <c r="H11" s="902"/>
    </row>
    <row r="12" spans="1:8" ht="54" customHeight="1">
      <c r="A12" s="764" t="s">
        <v>1291</v>
      </c>
      <c r="B12" s="764"/>
      <c r="C12" s="764" t="s">
        <v>1292</v>
      </c>
      <c r="D12" s="764"/>
      <c r="E12" s="764"/>
      <c r="F12" s="902"/>
      <c r="G12" s="902"/>
      <c r="H12" s="902"/>
    </row>
    <row r="13" spans="1:8" ht="45" customHeight="1">
      <c r="A13" s="764" t="s">
        <v>1293</v>
      </c>
      <c r="B13" s="764"/>
      <c r="C13" s="764" t="s">
        <v>1294</v>
      </c>
      <c r="D13" s="764"/>
      <c r="E13" s="764"/>
      <c r="F13" s="902"/>
      <c r="G13" s="902"/>
      <c r="H13" s="902"/>
    </row>
    <row r="14" spans="1:8" ht="117" customHeight="1">
      <c r="A14" s="764" t="s">
        <v>1295</v>
      </c>
      <c r="B14" s="764"/>
      <c r="C14" s="764" t="s">
        <v>1296</v>
      </c>
      <c r="D14" s="764"/>
      <c r="E14" s="764"/>
      <c r="F14" s="902"/>
      <c r="G14" s="902"/>
      <c r="H14" s="902"/>
    </row>
    <row r="15" spans="1:8" ht="117" customHeight="1">
      <c r="A15" s="764" t="s">
        <v>1297</v>
      </c>
      <c r="B15" s="764"/>
      <c r="C15" s="764" t="s">
        <v>1298</v>
      </c>
      <c r="D15" s="764"/>
      <c r="E15" s="764"/>
      <c r="F15" s="902"/>
      <c r="G15" s="902"/>
      <c r="H15" s="902"/>
    </row>
    <row r="16" spans="1:8" ht="63" customHeight="1">
      <c r="A16" s="764" t="s">
        <v>1299</v>
      </c>
      <c r="B16" s="764"/>
      <c r="C16" s="764" t="s">
        <v>1300</v>
      </c>
      <c r="D16" s="764"/>
      <c r="E16" s="764"/>
      <c r="F16" s="902"/>
      <c r="G16" s="902"/>
      <c r="H16" s="902"/>
    </row>
    <row r="17" spans="1:8" ht="63" customHeight="1">
      <c r="A17" s="764" t="s">
        <v>1301</v>
      </c>
      <c r="B17" s="764"/>
      <c r="C17" s="900" t="s">
        <v>1302</v>
      </c>
      <c r="D17" s="764"/>
      <c r="E17" s="764"/>
      <c r="F17" s="902"/>
      <c r="G17" s="902"/>
      <c r="H17" s="902"/>
    </row>
    <row r="18" spans="1:8" ht="27" customHeight="1">
      <c r="A18" s="764" t="s">
        <v>1303</v>
      </c>
      <c r="B18" s="764"/>
      <c r="C18" s="900" t="s">
        <v>1304</v>
      </c>
      <c r="D18" s="764"/>
      <c r="E18" s="764"/>
      <c r="F18" s="902"/>
      <c r="G18" s="902"/>
      <c r="H18" s="902"/>
    </row>
    <row r="19" spans="1:8" ht="54" customHeight="1">
      <c r="A19" s="764" t="s">
        <v>1305</v>
      </c>
      <c r="B19" s="764"/>
      <c r="C19" s="900" t="s">
        <v>1306</v>
      </c>
      <c r="D19" s="764"/>
      <c r="E19" s="764"/>
      <c r="F19" s="902"/>
      <c r="G19" s="902"/>
      <c r="H19" s="902"/>
    </row>
    <row r="20" spans="1:8" ht="36" customHeight="1">
      <c r="A20" s="764" t="s">
        <v>1307</v>
      </c>
      <c r="B20" s="764"/>
      <c r="C20" s="900" t="s">
        <v>1308</v>
      </c>
      <c r="D20" s="764"/>
      <c r="E20" s="764"/>
      <c r="F20" s="902"/>
      <c r="G20" s="902"/>
      <c r="H20" s="902"/>
    </row>
    <row r="21" spans="1:8" ht="28.5" customHeight="1">
      <c r="A21" s="764" t="s">
        <v>1309</v>
      </c>
      <c r="B21" s="764"/>
      <c r="C21" s="900" t="s">
        <v>1310</v>
      </c>
      <c r="D21" s="764"/>
      <c r="E21" s="764"/>
      <c r="F21" s="902"/>
      <c r="G21" s="902"/>
      <c r="H21" s="902"/>
    </row>
    <row r="22" spans="1:8" ht="28.5" customHeight="1">
      <c r="A22" s="764" t="s">
        <v>1311</v>
      </c>
      <c r="B22" s="764"/>
      <c r="C22" s="900" t="s">
        <v>1312</v>
      </c>
      <c r="D22" s="764"/>
      <c r="E22" s="764"/>
      <c r="F22" s="902"/>
      <c r="G22" s="902"/>
      <c r="H22" s="902"/>
    </row>
    <row r="23" spans="1:8" ht="28.5" customHeight="1">
      <c r="A23" s="764" t="s">
        <v>1313</v>
      </c>
      <c r="B23" s="764"/>
      <c r="C23" s="900" t="s">
        <v>1314</v>
      </c>
      <c r="D23" s="764"/>
      <c r="E23" s="764"/>
      <c r="F23" s="902"/>
      <c r="G23" s="902"/>
      <c r="H23" s="902"/>
    </row>
    <row r="24" spans="1:8" ht="28.5" customHeight="1">
      <c r="A24" s="764" t="s">
        <v>1315</v>
      </c>
      <c r="B24" s="764"/>
      <c r="C24" s="900" t="s">
        <v>1316</v>
      </c>
      <c r="D24" s="764"/>
      <c r="E24" s="764"/>
      <c r="F24" s="902"/>
      <c r="G24" s="902"/>
      <c r="H24" s="902"/>
    </row>
    <row r="25" spans="1:8" ht="28.5" customHeight="1">
      <c r="A25" s="764" t="s">
        <v>1317</v>
      </c>
      <c r="B25" s="764"/>
      <c r="C25" s="900" t="s">
        <v>1318</v>
      </c>
      <c r="D25" s="764"/>
      <c r="E25" s="764"/>
      <c r="F25" s="902"/>
      <c r="G25" s="902"/>
      <c r="H25" s="902"/>
    </row>
    <row r="26" spans="1:8" ht="28.5" customHeight="1">
      <c r="A26" s="764" t="s">
        <v>1319</v>
      </c>
      <c r="B26" s="764"/>
      <c r="C26" s="900" t="s">
        <v>1320</v>
      </c>
      <c r="D26" s="764"/>
      <c r="E26" s="764"/>
      <c r="F26" s="902"/>
      <c r="G26" s="902"/>
      <c r="H26" s="902"/>
    </row>
    <row r="27" spans="1:8" ht="28.5" customHeight="1">
      <c r="A27" s="764" t="s">
        <v>1321</v>
      </c>
      <c r="B27" s="764"/>
      <c r="C27" s="900" t="s">
        <v>1322</v>
      </c>
      <c r="D27" s="764"/>
      <c r="E27" s="764"/>
      <c r="F27" s="902"/>
      <c r="G27" s="902"/>
      <c r="H27" s="902"/>
    </row>
    <row r="28" spans="1:8" ht="28.5" customHeight="1">
      <c r="A28" s="764" t="s">
        <v>1323</v>
      </c>
      <c r="B28" s="764"/>
      <c r="C28" s="900" t="s">
        <v>1324</v>
      </c>
      <c r="D28" s="764"/>
      <c r="E28" s="764"/>
      <c r="F28" s="902"/>
      <c r="G28" s="902"/>
      <c r="H28" s="902"/>
    </row>
    <row r="29" spans="1:8" ht="126" customHeight="1">
      <c r="A29" s="764" t="s">
        <v>1325</v>
      </c>
      <c r="B29" s="764" t="s">
        <v>975</v>
      </c>
      <c r="C29" s="900" t="str">
        <f>IF(TEMPLATE_SPHERE="HEAT",D29,IF(TEMPLATE_SPHERE="TKO",H29,E29))</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D29" s="764" t="s">
        <v>1326</v>
      </c>
      <c r="E29" s="767" t="str">
        <f>"Форма 13. Информация о способах приобретения, стоимости и об объемах товаров (работ, услуг), необходимых организации "&amp;TEMPLATE_SPHERE_RUS&amp;"для производства товаров (оказания услуг) в сфере "&amp;TEMPLATE_SPHERE_RUS&amp;", тарифы на которые подлежат регулированию, содержит сведения о правовых актах, регламентирующих правила закупки (положение о закупке) в организации "&amp;TEMPLATE_SPHERE_RUS&amp;" и о месте их размещения, а также сведения о планировании закупок и результатах их проведения"</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F29" s="902"/>
      <c r="G29" s="902"/>
      <c r="H29" s="764" t="s">
        <v>1327</v>
      </c>
    </row>
    <row r="30" spans="1:8" ht="36" customHeight="1">
      <c r="A30" s="764" t="s">
        <v>1328</v>
      </c>
      <c r="B30" s="764"/>
      <c r="C30" s="900" t="str">
        <f>IF(TEMPLATE_SPHERE="HEAT",D30,IF(TEMPLATE_SPHERE="TKO",H30,E30))</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D30" s="764" t="s">
        <v>1329</v>
      </c>
      <c r="E30" s="767" t="str">
        <f>"Форма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"&amp;TEMPLATE_SPHERE_RUS&amp;" &lt;1&gt;"</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F30" s="902"/>
      <c r="G30" s="902"/>
      <c r="H30" s="902"/>
    </row>
    <row r="31" spans="1:8" ht="9" customHeight="1">
      <c r="A31" s="764"/>
      <c r="B31" s="764"/>
      <c r="C31" s="900"/>
      <c r="D31" s="764"/>
      <c r="E31" s="764"/>
      <c r="F31" s="902"/>
      <c r="G31" s="902"/>
      <c r="H31" s="902"/>
    </row>
    <row r="32" spans="1:8" ht="9" customHeight="1">
      <c r="A32" s="764"/>
      <c r="B32" s="764"/>
      <c r="C32" s="900"/>
      <c r="D32" s="764"/>
      <c r="E32" s="764"/>
      <c r="F32" s="902"/>
      <c r="G32" s="902"/>
      <c r="H32" s="902"/>
    </row>
    <row r="33" spans="1:8" ht="9" customHeight="1">
      <c r="A33" s="764"/>
      <c r="B33" s="764"/>
      <c r="C33" s="900"/>
      <c r="D33" s="764"/>
      <c r="E33" s="764"/>
      <c r="F33" s="902"/>
      <c r="G33" s="902"/>
      <c r="H33" s="902"/>
    </row>
    <row r="34" spans="1:8" ht="9" customHeight="1">
      <c r="A34" s="764"/>
      <c r="B34" s="764" t="s">
        <v>912</v>
      </c>
      <c r="C34" s="900">
        <f>INDEX(TEMPLATE_NAME_FORM_LIST,B34,MATCH(TEMPLATE_SPHERE,TEMPLATE_SPHERE_LIST,0))</f>
        <v>0</v>
      </c>
      <c r="D34" s="764"/>
      <c r="E34" s="764"/>
      <c r="F34" s="902"/>
      <c r="G34" s="902"/>
      <c r="H34" s="902"/>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58"/>
    <col min="3" max="7" width="8" style="760" customWidth="1"/>
    <col min="8" max="12" width="8.59765625" style="760" customWidth="1"/>
    <col min="13" max="14" width="27.69921875" style="760" customWidth="1"/>
    <col min="15" max="19" width="5.09765625" style="760" customWidth="1"/>
    <col min="20" max="24" width="27.69921875" style="760" customWidth="1"/>
    <col min="25" max="25" width="1.796875" style="917" customWidth="1"/>
    <col min="26" max="26" width="27.69921875" style="758" customWidth="1"/>
    <col min="27" max="27" width="27.69921875" style="769" customWidth="1"/>
    <col min="28" max="29" width="27.69921875" style="758" customWidth="1"/>
    <col min="30" max="30" width="3.796875" style="758" customWidth="1"/>
    <col min="31" max="34" width="9.09765625" style="758"/>
  </cols>
  <sheetData>
    <row r="1" spans="1:34" s="757" customFormat="1" ht="18" customHeight="1">
      <c r="A1" s="817"/>
      <c r="B1" s="817"/>
      <c r="C1" s="817" t="s">
        <v>1330</v>
      </c>
      <c r="D1" s="817"/>
      <c r="E1" s="817"/>
      <c r="F1" s="817"/>
      <c r="G1" s="817"/>
      <c r="H1" s="817" t="s">
        <v>1331</v>
      </c>
      <c r="I1" s="817"/>
      <c r="J1" s="817"/>
      <c r="K1" s="817"/>
      <c r="L1" s="817"/>
      <c r="M1" s="817" t="s">
        <v>1332</v>
      </c>
      <c r="N1" s="817" t="s">
        <v>1333</v>
      </c>
      <c r="O1" s="2102" t="s">
        <v>1334</v>
      </c>
      <c r="P1" s="2102"/>
      <c r="Q1" s="2102"/>
      <c r="R1" s="2102"/>
      <c r="S1" s="2102"/>
      <c r="T1" s="2102" t="s">
        <v>1332</v>
      </c>
      <c r="U1" s="2102"/>
      <c r="V1" s="2102"/>
      <c r="W1" s="2102"/>
      <c r="X1" s="2102"/>
      <c r="Y1" s="915"/>
      <c r="Z1" s="2102" t="s">
        <v>1335</v>
      </c>
      <c r="AA1" s="2102"/>
      <c r="AB1" s="2102"/>
      <c r="AC1" s="2102"/>
      <c r="AD1" s="2102"/>
    </row>
    <row r="2" spans="1:34" ht="18" customHeight="1">
      <c r="A2" s="764"/>
      <c r="B2" s="764"/>
      <c r="C2" s="759" t="s">
        <v>607</v>
      </c>
      <c r="D2" s="759" t="s">
        <v>997</v>
      </c>
      <c r="E2" s="759" t="s">
        <v>609</v>
      </c>
      <c r="F2" s="759" t="s">
        <v>1020</v>
      </c>
      <c r="G2" s="759" t="s">
        <v>1028</v>
      </c>
      <c r="H2" s="761"/>
      <c r="I2" s="761"/>
      <c r="J2" s="761"/>
      <c r="K2" s="761"/>
      <c r="L2" s="761"/>
      <c r="M2" s="761"/>
      <c r="N2" s="761"/>
      <c r="O2" s="759" t="s">
        <v>607</v>
      </c>
      <c r="P2" s="759" t="s">
        <v>997</v>
      </c>
      <c r="Q2" s="759" t="s">
        <v>1020</v>
      </c>
      <c r="R2" s="759" t="s">
        <v>609</v>
      </c>
      <c r="S2" s="759" t="s">
        <v>1028</v>
      </c>
      <c r="T2" s="759" t="s">
        <v>607</v>
      </c>
      <c r="U2" s="759" t="s">
        <v>997</v>
      </c>
      <c r="V2" s="759" t="s">
        <v>1020</v>
      </c>
      <c r="W2" s="759" t="s">
        <v>609</v>
      </c>
      <c r="X2" s="759" t="s">
        <v>1028</v>
      </c>
      <c r="Y2" s="759"/>
      <c r="Z2" s="759" t="s">
        <v>607</v>
      </c>
      <c r="AA2" s="768" t="s">
        <v>997</v>
      </c>
      <c r="AB2" s="759" t="s">
        <v>1020</v>
      </c>
      <c r="AC2" s="759" t="s">
        <v>609</v>
      </c>
      <c r="AD2" s="759" t="s">
        <v>1028</v>
      </c>
    </row>
    <row r="3" spans="1:34" ht="162" customHeight="1">
      <c r="A3" s="763" t="s">
        <v>23</v>
      </c>
      <c r="B3" s="763"/>
      <c r="C3" s="2106" t="s">
        <v>1336</v>
      </c>
      <c r="D3" s="2107"/>
      <c r="E3" s="2107"/>
      <c r="F3" s="2108"/>
      <c r="G3" s="761"/>
      <c r="H3" s="761"/>
      <c r="I3" s="761"/>
      <c r="J3" s="761"/>
      <c r="K3" s="761"/>
      <c r="L3" s="761"/>
      <c r="M3" s="761"/>
      <c r="N3" s="76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61"/>
      <c r="P3" s="761"/>
      <c r="Q3" s="761"/>
      <c r="R3" s="761"/>
      <c r="S3" s="761"/>
      <c r="T3" s="761"/>
      <c r="U3" s="761"/>
      <c r="V3" s="761"/>
      <c r="W3" s="761"/>
      <c r="X3" s="761"/>
      <c r="Y3" s="916"/>
      <c r="Z3" s="764" t="s">
        <v>1337</v>
      </c>
      <c r="AA3" s="761" t="s">
        <v>1338</v>
      </c>
      <c r="AB3" s="764" t="s">
        <v>1339</v>
      </c>
      <c r="AC3" s="764" t="s">
        <v>1340</v>
      </c>
      <c r="AD3" s="764"/>
      <c r="AG3" s="764"/>
      <c r="AH3" s="764"/>
    </row>
    <row r="4" spans="1:34" ht="9" customHeight="1">
      <c r="A4" s="763"/>
      <c r="B4" s="763"/>
      <c r="C4" s="761"/>
      <c r="D4" s="761"/>
      <c r="E4" s="761"/>
      <c r="F4" s="761"/>
      <c r="G4" s="761"/>
      <c r="H4" s="761"/>
      <c r="I4" s="761"/>
      <c r="J4" s="761"/>
      <c r="K4" s="761"/>
      <c r="L4" s="761"/>
      <c r="M4" s="761"/>
      <c r="N4" s="761"/>
      <c r="O4" s="761"/>
      <c r="P4" s="761"/>
      <c r="Q4" s="761"/>
      <c r="R4" s="761"/>
      <c r="S4" s="761"/>
      <c r="T4" s="761"/>
      <c r="U4" s="761"/>
      <c r="V4" s="761"/>
      <c r="W4" s="761"/>
      <c r="X4" s="761"/>
      <c r="Y4" s="916"/>
      <c r="Z4" s="764"/>
      <c r="AA4" s="767"/>
      <c r="AB4" s="764"/>
      <c r="AC4" s="764"/>
      <c r="AD4" s="764"/>
    </row>
    <row r="5" spans="1:34" ht="9" customHeight="1">
      <c r="A5" s="763"/>
      <c r="B5" s="763"/>
      <c r="C5" s="761"/>
      <c r="D5" s="761"/>
      <c r="E5" s="761"/>
      <c r="F5" s="761"/>
      <c r="G5" s="761"/>
      <c r="H5" s="761"/>
      <c r="I5" s="761"/>
      <c r="J5" s="761"/>
      <c r="K5" s="761"/>
      <c r="L5" s="761"/>
      <c r="M5" s="761"/>
      <c r="N5" s="761"/>
      <c r="O5" s="761"/>
      <c r="P5" s="761"/>
      <c r="Q5" s="761"/>
      <c r="R5" s="761"/>
      <c r="S5" s="761"/>
      <c r="T5" s="761"/>
      <c r="U5" s="761"/>
      <c r="V5" s="761"/>
      <c r="W5" s="761"/>
      <c r="X5" s="761"/>
      <c r="Y5" s="916"/>
      <c r="Z5" s="764"/>
      <c r="AA5" s="767"/>
      <c r="AB5" s="764"/>
      <c r="AC5" s="764"/>
      <c r="AD5" s="764"/>
    </row>
    <row r="6" spans="1:34" ht="9" customHeight="1">
      <c r="A6" s="763"/>
      <c r="B6" s="763"/>
      <c r="C6" s="761"/>
      <c r="D6" s="761"/>
      <c r="E6" s="761"/>
      <c r="F6" s="761"/>
      <c r="G6" s="761"/>
      <c r="H6" s="761"/>
      <c r="I6" s="761"/>
      <c r="J6" s="761"/>
      <c r="K6" s="761"/>
      <c r="L6" s="761"/>
      <c r="M6" s="761"/>
      <c r="N6" s="761"/>
      <c r="O6" s="761"/>
      <c r="P6" s="761"/>
      <c r="Q6" s="761"/>
      <c r="R6" s="761"/>
      <c r="S6" s="761"/>
      <c r="T6" s="761"/>
      <c r="U6" s="761"/>
      <c r="V6" s="761"/>
      <c r="W6" s="761"/>
      <c r="X6" s="761"/>
      <c r="Y6" s="916"/>
      <c r="Z6" s="764"/>
      <c r="AA6" s="767"/>
      <c r="AB6" s="764"/>
      <c r="AC6" s="764"/>
      <c r="AD6" s="764"/>
    </row>
    <row r="7" spans="1:34" ht="9" customHeight="1">
      <c r="A7" s="763"/>
      <c r="B7" s="763"/>
      <c r="C7" s="761"/>
      <c r="D7" s="761"/>
      <c r="E7" s="761"/>
      <c r="F7" s="761"/>
      <c r="G7" s="761"/>
      <c r="H7" s="761"/>
      <c r="I7" s="761"/>
      <c r="J7" s="761"/>
      <c r="K7" s="761"/>
      <c r="L7" s="761"/>
      <c r="M7" s="761"/>
      <c r="N7" s="761"/>
      <c r="O7" s="761"/>
      <c r="P7" s="761"/>
      <c r="Q7" s="761"/>
      <c r="R7" s="761"/>
      <c r="S7" s="761"/>
      <c r="T7" s="761"/>
      <c r="U7" s="761"/>
      <c r="V7" s="761"/>
      <c r="W7" s="761"/>
      <c r="X7" s="761"/>
      <c r="Y7" s="916"/>
      <c r="Z7" s="764"/>
      <c r="AA7" s="767"/>
      <c r="AB7" s="764"/>
      <c r="AC7" s="764"/>
      <c r="AD7" s="764"/>
    </row>
    <row r="8" spans="1:34" ht="9" customHeight="1">
      <c r="A8" s="763"/>
      <c r="B8" s="763"/>
      <c r="C8" s="761"/>
      <c r="D8" s="761"/>
      <c r="E8" s="761"/>
      <c r="F8" s="761"/>
      <c r="G8" s="761"/>
      <c r="H8" s="761"/>
      <c r="I8" s="761"/>
      <c r="J8" s="761"/>
      <c r="K8" s="761"/>
      <c r="L8" s="761"/>
      <c r="M8" s="761"/>
      <c r="N8" s="761"/>
      <c r="O8" s="761"/>
      <c r="P8" s="761"/>
      <c r="Q8" s="761"/>
      <c r="R8" s="761"/>
      <c r="S8" s="761"/>
      <c r="T8" s="761"/>
      <c r="U8" s="761"/>
      <c r="V8" s="761"/>
      <c r="W8" s="761"/>
      <c r="X8" s="761"/>
      <c r="Y8" s="916"/>
      <c r="Z8" s="764"/>
      <c r="AA8" s="767"/>
      <c r="AB8" s="764"/>
      <c r="AC8" s="764"/>
      <c r="AD8" s="764"/>
    </row>
    <row r="9" spans="1:34" ht="9" customHeight="1">
      <c r="A9" s="763"/>
      <c r="B9" s="763"/>
      <c r="C9" s="761"/>
      <c r="D9" s="761"/>
      <c r="E9" s="761"/>
      <c r="F9" s="761"/>
      <c r="G9" s="761"/>
      <c r="H9" s="761"/>
      <c r="I9" s="761"/>
      <c r="J9" s="761"/>
      <c r="K9" s="761"/>
      <c r="L9" s="761"/>
      <c r="M9" s="761"/>
      <c r="N9" s="761"/>
      <c r="O9" s="761"/>
      <c r="P9" s="761"/>
      <c r="Q9" s="761"/>
      <c r="R9" s="761"/>
      <c r="S9" s="761"/>
      <c r="T9" s="761"/>
      <c r="U9" s="761"/>
      <c r="V9" s="761"/>
      <c r="W9" s="761"/>
      <c r="X9" s="761"/>
      <c r="Y9" s="916"/>
      <c r="Z9" s="764"/>
      <c r="AA9" s="767"/>
      <c r="AB9" s="764"/>
      <c r="AC9" s="764"/>
      <c r="AD9" s="764"/>
    </row>
    <row r="10" spans="1:34" ht="9" customHeight="1">
      <c r="A10" s="818"/>
      <c r="B10" s="818"/>
      <c r="C10" s="818"/>
      <c r="D10" s="818"/>
      <c r="E10" s="818"/>
      <c r="F10" s="818"/>
      <c r="G10" s="818"/>
      <c r="H10" s="818"/>
      <c r="I10" s="818"/>
      <c r="J10" s="818"/>
      <c r="K10" s="818"/>
      <c r="L10" s="818"/>
      <c r="M10" s="818"/>
      <c r="N10" s="818"/>
      <c r="O10" s="818"/>
      <c r="P10" s="818"/>
      <c r="Q10" s="818"/>
      <c r="R10" s="818"/>
      <c r="S10" s="818"/>
      <c r="T10" s="818"/>
      <c r="U10" s="818"/>
      <c r="V10" s="818"/>
      <c r="W10" s="818"/>
      <c r="X10" s="818"/>
      <c r="Y10" s="818"/>
      <c r="Z10" s="818"/>
      <c r="AA10" s="818"/>
      <c r="AB10" s="818"/>
      <c r="AC10" s="818"/>
      <c r="AD10" s="818"/>
    </row>
    <row r="11" spans="1:34" ht="45" customHeight="1">
      <c r="A11" s="2103" t="s">
        <v>29</v>
      </c>
      <c r="B11" s="818">
        <v>1</v>
      </c>
      <c r="C11" s="2109" t="s">
        <v>962</v>
      </c>
      <c r="D11" s="2109" t="s">
        <v>959</v>
      </c>
      <c r="E11" s="2109" t="s">
        <v>1066</v>
      </c>
      <c r="F11" s="2109" t="s">
        <v>1341</v>
      </c>
      <c r="G11" s="2109"/>
      <c r="H11" s="817" t="s">
        <v>1342</v>
      </c>
      <c r="I11" s="817"/>
      <c r="J11" s="817"/>
      <c r="K11" s="817"/>
      <c r="L11" s="817"/>
      <c r="M11" s="762" t="str">
        <f>IF(TEMPLATE_SPHERE="HEAT",T11,U11)</f>
        <v xml:space="preserve">Количество поданных заявлений </v>
      </c>
      <c r="N11" s="762"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61"/>
      <c r="P11" s="761"/>
      <c r="Q11" s="761"/>
      <c r="R11" s="761"/>
      <c r="S11" s="761"/>
      <c r="T11" s="761" t="s">
        <v>1343</v>
      </c>
      <c r="U11" s="761" t="s">
        <v>1344</v>
      </c>
      <c r="V11" s="761"/>
      <c r="W11" s="761"/>
      <c r="X11" s="761"/>
      <c r="Y11" s="916"/>
      <c r="Z11" s="764" t="s">
        <v>1345</v>
      </c>
      <c r="AA11" s="76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64"/>
      <c r="AC11" s="764"/>
      <c r="AD11" s="764"/>
    </row>
    <row r="12" spans="1:34" ht="45" customHeight="1">
      <c r="A12" s="2103"/>
      <c r="B12" s="818">
        <v>2</v>
      </c>
      <c r="C12" s="2110"/>
      <c r="D12" s="2110"/>
      <c r="E12" s="2110"/>
      <c r="F12" s="2110"/>
      <c r="G12" s="2110"/>
      <c r="H12" s="817" t="s">
        <v>1346</v>
      </c>
      <c r="I12" s="817"/>
      <c r="J12" s="817"/>
      <c r="K12" s="817"/>
      <c r="L12" s="817"/>
      <c r="M12" s="762" t="str">
        <f>IF(TEMPLATE_SPHERE="HEAT",T12,U12)</f>
        <v xml:space="preserve">Количество исполненных заявлений </v>
      </c>
      <c r="N12" s="762"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61"/>
      <c r="P12" s="761"/>
      <c r="Q12" s="761"/>
      <c r="R12" s="761"/>
      <c r="S12" s="761"/>
      <c r="T12" s="761" t="s">
        <v>1347</v>
      </c>
      <c r="U12" s="761" t="s">
        <v>1348</v>
      </c>
      <c r="V12" s="761"/>
      <c r="W12" s="761"/>
      <c r="X12" s="761"/>
      <c r="Y12" s="916"/>
      <c r="Z12" s="764" t="s">
        <v>1349</v>
      </c>
      <c r="AA12" s="76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64"/>
      <c r="AC12" s="764"/>
      <c r="AD12" s="764"/>
    </row>
    <row r="13" spans="1:34" ht="72" customHeight="1">
      <c r="A13" s="2103"/>
      <c r="B13" s="818">
        <v>3</v>
      </c>
      <c r="C13" s="2110"/>
      <c r="D13" s="2110"/>
      <c r="E13" s="2110"/>
      <c r="F13" s="2110"/>
      <c r="G13" s="2110"/>
      <c r="H13" s="2102" t="s">
        <v>1350</v>
      </c>
      <c r="I13" s="817"/>
      <c r="J13" s="817"/>
      <c r="K13" s="817"/>
      <c r="L13" s="817"/>
      <c r="M13" s="762" t="str">
        <f>IF(TEMPLATE_SPHERE="HEAT",T13,U13)</f>
        <v>Количество заявлений о заключении договоров о подключении (технологическом присоединении)</v>
      </c>
      <c r="N13" s="762"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61"/>
      <c r="P13" s="762"/>
      <c r="Q13" s="762"/>
      <c r="R13" s="762"/>
      <c r="S13" s="761"/>
      <c r="T13" s="761" t="s">
        <v>1351</v>
      </c>
      <c r="U13" s="762" t="s">
        <v>1352</v>
      </c>
      <c r="V13" s="762"/>
      <c r="W13" s="762"/>
      <c r="X13" s="761"/>
      <c r="Y13" s="916"/>
      <c r="Z13" s="764" t="s">
        <v>1353</v>
      </c>
      <c r="AA13" s="76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64"/>
      <c r="AC13" s="764"/>
      <c r="AD13" s="764"/>
    </row>
    <row r="14" spans="1:34" ht="45" customHeight="1">
      <c r="A14" s="2103"/>
      <c r="B14" s="818">
        <v>4</v>
      </c>
      <c r="C14" s="2110"/>
      <c r="D14" s="2110"/>
      <c r="E14" s="2110"/>
      <c r="F14" s="2110"/>
      <c r="G14" s="2110"/>
      <c r="H14" s="2102"/>
      <c r="I14" s="820"/>
      <c r="J14" s="820"/>
      <c r="K14" s="820"/>
      <c r="L14" s="820"/>
      <c r="M14" s="76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6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1"/>
      <c r="P14" s="762"/>
      <c r="Q14" s="762"/>
      <c r="R14" s="762"/>
      <c r="S14" s="761"/>
      <c r="T14" s="761" t="s">
        <v>1354</v>
      </c>
      <c r="U14" s="76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62"/>
      <c r="W14" s="762"/>
      <c r="X14" s="761"/>
      <c r="Y14" s="916"/>
      <c r="Z14" s="764" t="s">
        <v>1355</v>
      </c>
      <c r="AA14" s="767" t="s">
        <v>1355</v>
      </c>
      <c r="AB14" s="764"/>
      <c r="AC14" s="764"/>
      <c r="AD14" s="764"/>
    </row>
    <row r="15" spans="1:34" ht="108" customHeight="1">
      <c r="A15" s="2103"/>
      <c r="B15" s="818">
        <v>5</v>
      </c>
      <c r="C15" s="2110"/>
      <c r="D15" s="2110"/>
      <c r="E15" s="2110"/>
      <c r="F15" s="2110"/>
      <c r="G15" s="2110"/>
      <c r="H15" s="2104" t="s">
        <v>1356</v>
      </c>
      <c r="I15" s="819"/>
      <c r="J15" s="819"/>
      <c r="K15" s="819"/>
      <c r="L15" s="819"/>
      <c r="M15" s="76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6"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61"/>
      <c r="P15" s="762"/>
      <c r="Q15" s="762"/>
      <c r="R15" s="762"/>
      <c r="S15" s="761"/>
      <c r="T15" s="761" t="s">
        <v>1357</v>
      </c>
      <c r="U15" s="76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62"/>
      <c r="W15" s="762"/>
      <c r="X15" s="761"/>
      <c r="Y15" s="916"/>
      <c r="Z15" s="764" t="s">
        <v>1358</v>
      </c>
      <c r="AA15" s="76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64"/>
      <c r="AC15" s="764"/>
      <c r="AD15" s="764"/>
    </row>
    <row r="16" spans="1:34" ht="108" customHeight="1">
      <c r="A16" s="818"/>
      <c r="B16" s="818">
        <v>6</v>
      </c>
      <c r="C16" s="2111"/>
      <c r="D16" s="2111"/>
      <c r="E16" s="2111"/>
      <c r="F16" s="2111"/>
      <c r="G16" s="2111"/>
      <c r="H16" s="2105"/>
      <c r="I16" s="878"/>
      <c r="J16" s="878"/>
      <c r="K16" s="878"/>
      <c r="L16" s="878"/>
      <c r="M16" s="811"/>
      <c r="N16" s="766"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61"/>
      <c r="P16" s="762"/>
      <c r="Q16" s="762"/>
      <c r="R16" s="762"/>
      <c r="S16" s="761"/>
      <c r="T16" s="761"/>
      <c r="U16" s="762"/>
      <c r="V16" s="762"/>
      <c r="W16" s="762"/>
      <c r="X16" s="761"/>
      <c r="Y16" s="916"/>
      <c r="Z16" s="764" t="s">
        <v>1358</v>
      </c>
      <c r="AA16" s="76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64"/>
      <c r="AC16" s="764"/>
      <c r="AD16" s="764"/>
    </row>
    <row r="17" spans="1:30" ht="9" customHeight="1">
      <c r="A17" s="818"/>
      <c r="B17" s="818"/>
      <c r="C17" s="818">
        <v>22</v>
      </c>
      <c r="D17" s="818">
        <v>21</v>
      </c>
      <c r="E17" s="818">
        <v>42</v>
      </c>
      <c r="F17" s="818">
        <v>63</v>
      </c>
      <c r="G17" s="818"/>
      <c r="H17" s="818"/>
      <c r="I17" s="818"/>
      <c r="J17" s="818"/>
      <c r="K17" s="818"/>
      <c r="L17" s="818"/>
      <c r="M17" s="818"/>
      <c r="N17" s="818"/>
      <c r="O17" s="818"/>
      <c r="P17" s="818"/>
      <c r="Q17" s="818"/>
      <c r="R17" s="818"/>
      <c r="S17" s="818"/>
      <c r="T17" s="818"/>
      <c r="U17" s="818"/>
      <c r="V17" s="818"/>
      <c r="W17" s="818"/>
      <c r="X17" s="818"/>
      <c r="Y17" s="818"/>
      <c r="Z17" s="818"/>
      <c r="AA17" s="818"/>
      <c r="AB17" s="818"/>
      <c r="AC17" s="818"/>
      <c r="AD17" s="818"/>
    </row>
    <row r="18" spans="1:30" ht="27" customHeight="1">
      <c r="A18" s="763" t="s">
        <v>1070</v>
      </c>
      <c r="B18" s="818">
        <v>1</v>
      </c>
      <c r="C18" s="761" t="s">
        <v>1342</v>
      </c>
      <c r="D18" s="883" t="s">
        <v>1342</v>
      </c>
      <c r="E18" s="761" t="s">
        <v>1342</v>
      </c>
      <c r="F18" s="761" t="s">
        <v>1342</v>
      </c>
      <c r="G18" s="761"/>
      <c r="H18" s="918"/>
      <c r="I18" s="921">
        <f t="shared" ref="I18:I49" si="1">INDEX(TEMPLATE_NUMBER_POINT_FHD,B18,MATCH(TEMPLATE_SPHERE,TEMPLATE_SPHERE_LIST_FOR_NOTE,0))</f>
        <v>1</v>
      </c>
      <c r="J18" s="921" t="str">
        <f t="shared" ref="J18:J49" si="2">INDEX(TEMPLATE_DATA_POINT_FHD,B18,MATCH(TEMPLATE_SPHERE,TEMPLATE_SPHERE_LIST_FOR_NOTE,0))</f>
        <v>Выручка от регулируемых видов деятельности в сфере холодного водоснабжения</v>
      </c>
      <c r="K18" s="921" t="str">
        <f t="shared" ref="K18:K49" si="3">INDEX(TEMPLATE_NOTE_POINT_FHD,B18,MATCH(TEMPLATE_SPHERE,TEMPLATE_SPHERE_LIST_FOR_NOTE,0))</f>
        <v>Указывается выручка с распределением по видам деятельности.</v>
      </c>
      <c r="L18" s="762">
        <f t="shared" ref="L18:L49" si="4">IF(I18=0,"",I18)</f>
        <v>1</v>
      </c>
      <c r="M18" s="762" t="str">
        <f t="shared" ref="M18:M49" si="5">IF(J18=0,"",J18)</f>
        <v>Выручка от регулируемых видов деятельности в сфере холодного водоснабжения</v>
      </c>
      <c r="N18" s="762" t="str">
        <f t="shared" ref="N18:N49" si="6">IF(K18=0,"",K18)</f>
        <v>Указывается выручка с распределением по видам деятельности.</v>
      </c>
      <c r="O18" s="873">
        <v>1</v>
      </c>
      <c r="P18" s="873">
        <v>1</v>
      </c>
      <c r="Q18" s="873">
        <v>1</v>
      </c>
      <c r="R18" s="873">
        <v>1</v>
      </c>
      <c r="S18" s="873"/>
      <c r="T18" s="880" t="s">
        <v>1359</v>
      </c>
      <c r="U18" s="764" t="s">
        <v>1360</v>
      </c>
      <c r="V18" s="764" t="s">
        <v>1361</v>
      </c>
      <c r="W18" s="764" t="s">
        <v>1362</v>
      </c>
      <c r="X18" s="761"/>
      <c r="Y18" s="916"/>
      <c r="Z18" s="764" t="s">
        <v>1363</v>
      </c>
      <c r="AA18" s="767" t="s">
        <v>1364</v>
      </c>
      <c r="AB18" s="767" t="s">
        <v>1364</v>
      </c>
      <c r="AC18" s="767" t="s">
        <v>1364</v>
      </c>
      <c r="AD18" s="764"/>
    </row>
    <row r="19" spans="1:30" ht="36" customHeight="1">
      <c r="A19" s="763"/>
      <c r="B19" s="818">
        <v>2</v>
      </c>
      <c r="C19" s="761" t="s">
        <v>1346</v>
      </c>
      <c r="D19" s="883" t="s">
        <v>1346</v>
      </c>
      <c r="E19" s="761" t="s">
        <v>1346</v>
      </c>
      <c r="F19" s="761" t="s">
        <v>1346</v>
      </c>
      <c r="G19" s="761"/>
      <c r="H19" s="918"/>
      <c r="I19" s="921">
        <f t="shared" si="1"/>
        <v>2</v>
      </c>
      <c r="J19" s="921" t="str">
        <f t="shared" si="2"/>
        <v>Себестоимость производимых товаров (оказываемых услуг) по регулируемым видам деятельности в сфере холодного водоснабжения, включая:</v>
      </c>
      <c r="K19" s="921" t="str">
        <f t="shared" si="3"/>
        <v>Указывается суммарная себестоимость производимых товаров.</v>
      </c>
      <c r="L19" s="762">
        <f t="shared" si="4"/>
        <v>2</v>
      </c>
      <c r="M19" s="762" t="str">
        <f t="shared" si="5"/>
        <v>Себестоимость производимых товаров (оказываемых услуг) по регулируемым видам деятельности в сфере холодного водоснабжения, включая:</v>
      </c>
      <c r="N19" s="762" t="str">
        <f t="shared" si="6"/>
        <v>Указывается суммарная себестоимость производимых товаров.</v>
      </c>
      <c r="O19" s="873">
        <v>2</v>
      </c>
      <c r="P19" s="873">
        <v>2</v>
      </c>
      <c r="Q19" s="873">
        <v>2</v>
      </c>
      <c r="R19" s="873">
        <v>2</v>
      </c>
      <c r="S19" s="873"/>
      <c r="T19" s="880" t="s">
        <v>1365</v>
      </c>
      <c r="U19" s="764" t="s">
        <v>1366</v>
      </c>
      <c r="V19" s="764" t="s">
        <v>1367</v>
      </c>
      <c r="W19" s="764" t="s">
        <v>1368</v>
      </c>
      <c r="X19" s="761"/>
      <c r="Y19" s="916"/>
      <c r="Z19" s="764" t="s">
        <v>1369</v>
      </c>
      <c r="AA19" s="767" t="s">
        <v>1369</v>
      </c>
      <c r="AB19" s="767" t="s">
        <v>1369</v>
      </c>
      <c r="AC19" s="767" t="s">
        <v>1369</v>
      </c>
      <c r="AD19" s="764"/>
    </row>
    <row r="20" spans="1:30" ht="27" customHeight="1">
      <c r="A20" s="763"/>
      <c r="B20" s="818">
        <v>3</v>
      </c>
      <c r="C20" s="761">
        <v>1</v>
      </c>
      <c r="D20" s="883"/>
      <c r="E20" s="761"/>
      <c r="F20" s="761"/>
      <c r="G20" s="761"/>
      <c r="H20" s="918"/>
      <c r="I20" s="921" t="str">
        <f t="shared" si="1"/>
        <v>2.1</v>
      </c>
      <c r="J20" s="921" t="str">
        <f t="shared" si="2"/>
        <v>Расходы на оплату холодной воды, приобретаемой у других организаций для последующей подачи потребителям</v>
      </c>
      <c r="K20" s="921">
        <f t="shared" si="3"/>
        <v>0</v>
      </c>
      <c r="L20" s="762" t="str">
        <f t="shared" si="4"/>
        <v>2.1</v>
      </c>
      <c r="M20" s="762" t="str">
        <f t="shared" si="5"/>
        <v>Расходы на оплату холодной воды, приобретаемой у других организаций для последующей подачи потребителям</v>
      </c>
      <c r="N20" s="762" t="str">
        <f t="shared" si="6"/>
        <v/>
      </c>
      <c r="O20" s="873" t="s">
        <v>466</v>
      </c>
      <c r="P20" s="873" t="s">
        <v>466</v>
      </c>
      <c r="Q20" s="873" t="s">
        <v>466</v>
      </c>
      <c r="R20" s="873" t="s">
        <v>466</v>
      </c>
      <c r="S20" s="873"/>
      <c r="T20" s="880" t="s">
        <v>1370</v>
      </c>
      <c r="U20" s="764" t="s">
        <v>1371</v>
      </c>
      <c r="V20" s="764" t="s">
        <v>1372</v>
      </c>
      <c r="W20" s="764" t="s">
        <v>1373</v>
      </c>
      <c r="X20" s="761"/>
      <c r="Y20" s="916"/>
      <c r="Z20" s="764"/>
      <c r="AA20" s="767"/>
      <c r="AB20" s="764"/>
      <c r="AC20" s="764"/>
      <c r="AD20" s="764"/>
    </row>
    <row r="21" spans="1:30" ht="36" customHeight="1">
      <c r="A21" s="763"/>
      <c r="B21" s="818">
        <v>4</v>
      </c>
      <c r="C21" s="761">
        <v>2</v>
      </c>
      <c r="D21" s="883"/>
      <c r="E21" s="761"/>
      <c r="F21" s="761"/>
      <c r="G21" s="761"/>
      <c r="H21" s="918"/>
      <c r="I21" s="921">
        <f t="shared" si="1"/>
        <v>0</v>
      </c>
      <c r="J21" s="921">
        <f t="shared" si="2"/>
        <v>0</v>
      </c>
      <c r="K21" s="921">
        <f t="shared" si="3"/>
        <v>0</v>
      </c>
      <c r="L21" s="762" t="str">
        <f t="shared" si="4"/>
        <v/>
      </c>
      <c r="M21" s="762" t="str">
        <f t="shared" si="5"/>
        <v/>
      </c>
      <c r="N21" s="762" t="str">
        <f t="shared" si="6"/>
        <v/>
      </c>
      <c r="O21" s="873" t="s">
        <v>290</v>
      </c>
      <c r="P21" s="873"/>
      <c r="Q21" s="873"/>
      <c r="R21" s="873"/>
      <c r="S21" s="873"/>
      <c r="T21" s="880" t="s">
        <v>1374</v>
      </c>
      <c r="U21" s="764"/>
      <c r="V21" s="764"/>
      <c r="W21" s="764"/>
      <c r="X21" s="761"/>
      <c r="Y21" s="916"/>
      <c r="Z21" s="764" t="s">
        <v>1375</v>
      </c>
      <c r="AA21" s="767"/>
      <c r="AB21" s="764"/>
      <c r="AC21" s="764"/>
      <c r="AD21" s="764"/>
    </row>
    <row r="22" spans="1:30" ht="36" customHeight="1">
      <c r="A22" s="763"/>
      <c r="B22" s="818">
        <v>5</v>
      </c>
      <c r="C22" s="761">
        <v>3</v>
      </c>
      <c r="D22" s="883"/>
      <c r="E22" s="761"/>
      <c r="F22" s="761"/>
      <c r="G22" s="810"/>
      <c r="H22" s="874"/>
      <c r="I22" s="921">
        <f t="shared" si="1"/>
        <v>0</v>
      </c>
      <c r="J22" s="921">
        <f t="shared" si="2"/>
        <v>0</v>
      </c>
      <c r="K22" s="921">
        <f t="shared" si="3"/>
        <v>0</v>
      </c>
      <c r="L22" s="762" t="str">
        <f t="shared" si="4"/>
        <v/>
      </c>
      <c r="M22" s="762" t="str">
        <f t="shared" si="5"/>
        <v/>
      </c>
      <c r="N22" s="762" t="str">
        <f t="shared" si="6"/>
        <v/>
      </c>
      <c r="O22" s="873"/>
      <c r="P22" s="873"/>
      <c r="Q22" s="873" t="s">
        <v>290</v>
      </c>
      <c r="R22" s="873"/>
      <c r="S22" s="873"/>
      <c r="T22" s="880"/>
      <c r="U22" s="764"/>
      <c r="V22" s="764" t="s">
        <v>1376</v>
      </c>
      <c r="W22" s="764"/>
      <c r="X22" s="761"/>
      <c r="Y22" s="916"/>
      <c r="Z22" s="764"/>
      <c r="AA22" s="767"/>
      <c r="AB22" s="764"/>
      <c r="AC22" s="764"/>
      <c r="AD22" s="764"/>
    </row>
    <row r="23" spans="1:30" ht="27" customHeight="1">
      <c r="A23" s="763"/>
      <c r="B23" s="818">
        <v>6</v>
      </c>
      <c r="C23" s="761">
        <v>4</v>
      </c>
      <c r="D23" s="883"/>
      <c r="E23" s="761"/>
      <c r="F23" s="761"/>
      <c r="G23" s="810"/>
      <c r="H23" s="874"/>
      <c r="I23" s="921">
        <f t="shared" si="1"/>
        <v>0</v>
      </c>
      <c r="J23" s="921">
        <f t="shared" si="2"/>
        <v>0</v>
      </c>
      <c r="K23" s="921">
        <f t="shared" si="3"/>
        <v>0</v>
      </c>
      <c r="L23" s="762" t="str">
        <f t="shared" si="4"/>
        <v/>
      </c>
      <c r="M23" s="762" t="str">
        <f t="shared" si="5"/>
        <v/>
      </c>
      <c r="N23" s="762" t="str">
        <f t="shared" si="6"/>
        <v/>
      </c>
      <c r="O23" s="873"/>
      <c r="P23" s="873"/>
      <c r="Q23" s="873" t="s">
        <v>293</v>
      </c>
      <c r="R23" s="873"/>
      <c r="S23" s="873"/>
      <c r="T23" s="880"/>
      <c r="U23" s="764"/>
      <c r="V23" s="764" t="s">
        <v>1377</v>
      </c>
      <c r="W23" s="764"/>
      <c r="X23" s="761"/>
      <c r="Y23" s="916"/>
      <c r="Z23" s="764"/>
      <c r="AA23" s="767"/>
      <c r="AB23" s="764"/>
      <c r="AC23" s="764"/>
      <c r="AD23" s="764"/>
    </row>
    <row r="24" spans="1:30" ht="36" customHeight="1">
      <c r="A24" s="763"/>
      <c r="B24" s="818">
        <v>7</v>
      </c>
      <c r="C24" s="761">
        <v>5</v>
      </c>
      <c r="D24" s="883"/>
      <c r="E24" s="761"/>
      <c r="F24" s="761"/>
      <c r="G24" s="810"/>
      <c r="H24" s="874"/>
      <c r="I24" s="921">
        <f t="shared" si="1"/>
        <v>0</v>
      </c>
      <c r="J24" s="921">
        <f t="shared" si="2"/>
        <v>0</v>
      </c>
      <c r="K24" s="921">
        <f t="shared" si="3"/>
        <v>0</v>
      </c>
      <c r="L24" s="762" t="str">
        <f t="shared" si="4"/>
        <v/>
      </c>
      <c r="M24" s="762" t="str">
        <f t="shared" si="5"/>
        <v/>
      </c>
      <c r="N24" s="762" t="str">
        <f t="shared" si="6"/>
        <v/>
      </c>
      <c r="O24" s="873"/>
      <c r="P24" s="873"/>
      <c r="Q24" s="873" t="s">
        <v>1378</v>
      </c>
      <c r="R24" s="873"/>
      <c r="S24" s="873"/>
      <c r="T24" s="880"/>
      <c r="U24" s="764"/>
      <c r="V24" s="764" t="s">
        <v>1379</v>
      </c>
      <c r="W24" s="764"/>
      <c r="X24" s="761"/>
      <c r="Y24" s="916"/>
      <c r="Z24" s="764"/>
      <c r="AA24" s="767"/>
      <c r="AB24" s="764"/>
      <c r="AC24" s="764"/>
      <c r="AD24" s="764"/>
    </row>
    <row r="25" spans="1:30" ht="36" customHeight="1">
      <c r="A25" s="763"/>
      <c r="B25" s="818">
        <v>8</v>
      </c>
      <c r="C25" s="761">
        <v>6</v>
      </c>
      <c r="D25" s="883"/>
      <c r="E25" s="761"/>
      <c r="F25" s="761"/>
      <c r="G25" s="810"/>
      <c r="H25" s="874"/>
      <c r="I25" s="921" t="str">
        <f t="shared" si="1"/>
        <v>2.2</v>
      </c>
      <c r="J25" s="921" t="str">
        <f t="shared" si="2"/>
        <v>Расходы на приобретаемую электрическую энергию (мощность), используемую в технологическом процессе</v>
      </c>
      <c r="K25" s="921">
        <f t="shared" si="3"/>
        <v>0</v>
      </c>
      <c r="L25" s="762" t="str">
        <f t="shared" si="4"/>
        <v>2.2</v>
      </c>
      <c r="M25" s="762" t="str">
        <f t="shared" si="5"/>
        <v>Расходы на приобретаемую электрическую энергию (мощность), используемую в технологическом процессе</v>
      </c>
      <c r="N25" s="762" t="str">
        <f t="shared" si="6"/>
        <v/>
      </c>
      <c r="O25" s="873" t="s">
        <v>293</v>
      </c>
      <c r="P25" s="873" t="s">
        <v>290</v>
      </c>
      <c r="Q25" s="873" t="s">
        <v>1380</v>
      </c>
      <c r="R25" s="873" t="s">
        <v>290</v>
      </c>
      <c r="S25" s="873"/>
      <c r="T25" s="880" t="s">
        <v>1381</v>
      </c>
      <c r="U25" s="764" t="s">
        <v>1381</v>
      </c>
      <c r="V25" s="764" t="s">
        <v>1381</v>
      </c>
      <c r="W25" s="764" t="s">
        <v>1381</v>
      </c>
      <c r="X25" s="761"/>
      <c r="Y25" s="916"/>
      <c r="Z25" s="764"/>
      <c r="AA25" s="767"/>
      <c r="AB25" s="764"/>
      <c r="AC25" s="764"/>
      <c r="AD25" s="764"/>
    </row>
    <row r="26" spans="1:30" ht="18" customHeight="1">
      <c r="A26" s="763"/>
      <c r="B26" s="818">
        <v>9</v>
      </c>
      <c r="C26" s="761" t="s">
        <v>1382</v>
      </c>
      <c r="D26" s="883"/>
      <c r="E26" s="761"/>
      <c r="F26" s="761"/>
      <c r="G26" s="810"/>
      <c r="H26" s="874"/>
      <c r="I26" s="921" t="str">
        <f t="shared" si="1"/>
        <v>2.2.1</v>
      </c>
      <c r="J26" s="921" t="str">
        <f t="shared" si="2"/>
        <v>Средневзвешенная стоимость 1 кВт.ч (с учетом мощности)</v>
      </c>
      <c r="K26" s="921">
        <f t="shared" si="3"/>
        <v>0</v>
      </c>
      <c r="L26" s="762" t="str">
        <f t="shared" si="4"/>
        <v>2.2.1</v>
      </c>
      <c r="M26" s="762" t="str">
        <f t="shared" si="5"/>
        <v>Средневзвешенная стоимость 1 кВт.ч (с учетом мощности)</v>
      </c>
      <c r="N26" s="762" t="str">
        <f t="shared" si="6"/>
        <v/>
      </c>
      <c r="O26" s="873" t="s">
        <v>1383</v>
      </c>
      <c r="P26" s="873" t="s">
        <v>1384</v>
      </c>
      <c r="Q26" s="873" t="s">
        <v>1385</v>
      </c>
      <c r="R26" s="873" t="s">
        <v>1384</v>
      </c>
      <c r="S26" s="873"/>
      <c r="T26" s="880" t="s">
        <v>1386</v>
      </c>
      <c r="U26" s="880" t="s">
        <v>1386</v>
      </c>
      <c r="V26" s="880" t="s">
        <v>1386</v>
      </c>
      <c r="W26" s="880" t="s">
        <v>1386</v>
      </c>
      <c r="X26" s="761"/>
      <c r="Y26" s="916"/>
      <c r="Z26" s="764"/>
      <c r="AA26" s="767"/>
      <c r="AB26" s="764"/>
      <c r="AC26" s="764"/>
      <c r="AD26" s="764"/>
    </row>
    <row r="27" spans="1:30" ht="18" customHeight="1">
      <c r="A27" s="763"/>
      <c r="B27" s="818">
        <v>10</v>
      </c>
      <c r="C27" s="761" t="s">
        <v>1387</v>
      </c>
      <c r="D27" s="883"/>
      <c r="E27" s="761"/>
      <c r="F27" s="761"/>
      <c r="G27" s="810"/>
      <c r="H27" s="874"/>
      <c r="I27" s="921" t="str">
        <f t="shared" si="1"/>
        <v>2.2.2</v>
      </c>
      <c r="J27" s="921" t="str">
        <f t="shared" si="2"/>
        <v>Объём приобретения электрической энергии</v>
      </c>
      <c r="K27" s="921">
        <f t="shared" si="3"/>
        <v>0</v>
      </c>
      <c r="L27" s="762" t="str">
        <f t="shared" si="4"/>
        <v>2.2.2</v>
      </c>
      <c r="M27" s="762" t="str">
        <f t="shared" si="5"/>
        <v>Объём приобретения электрической энергии</v>
      </c>
      <c r="N27" s="762" t="str">
        <f t="shared" si="6"/>
        <v/>
      </c>
      <c r="O27" s="873" t="s">
        <v>1388</v>
      </c>
      <c r="P27" s="873" t="s">
        <v>1389</v>
      </c>
      <c r="Q27" s="873" t="s">
        <v>1390</v>
      </c>
      <c r="R27" s="873" t="s">
        <v>1389</v>
      </c>
      <c r="S27" s="873"/>
      <c r="T27" s="880" t="s">
        <v>1391</v>
      </c>
      <c r="U27" s="880" t="s">
        <v>1391</v>
      </c>
      <c r="V27" s="880" t="s">
        <v>1391</v>
      </c>
      <c r="W27" s="880" t="s">
        <v>1391</v>
      </c>
      <c r="X27" s="761"/>
      <c r="Y27" s="916"/>
      <c r="Z27" s="764"/>
      <c r="AA27" s="767"/>
      <c r="AB27" s="764"/>
      <c r="AC27" s="764"/>
      <c r="AD27" s="764"/>
    </row>
    <row r="28" spans="1:30" ht="27" customHeight="1">
      <c r="A28" s="763"/>
      <c r="B28" s="818">
        <v>11</v>
      </c>
      <c r="C28" s="761">
        <v>7</v>
      </c>
      <c r="D28" s="883"/>
      <c r="E28" s="761"/>
      <c r="F28" s="761"/>
      <c r="G28" s="810"/>
      <c r="H28" s="874"/>
      <c r="I28" s="921">
        <f t="shared" si="1"/>
        <v>0</v>
      </c>
      <c r="J28" s="921">
        <f t="shared" si="2"/>
        <v>0</v>
      </c>
      <c r="K28" s="921">
        <f t="shared" si="3"/>
        <v>0</v>
      </c>
      <c r="L28" s="762" t="str">
        <f t="shared" si="4"/>
        <v/>
      </c>
      <c r="M28" s="762" t="str">
        <f t="shared" si="5"/>
        <v/>
      </c>
      <c r="N28" s="762" t="str">
        <f t="shared" si="6"/>
        <v/>
      </c>
      <c r="O28" s="873" t="s">
        <v>1378</v>
      </c>
      <c r="P28" s="873"/>
      <c r="Q28" s="873"/>
      <c r="R28" s="873"/>
      <c r="S28" s="873"/>
      <c r="T28" s="880" t="s">
        <v>1392</v>
      </c>
      <c r="U28" s="764"/>
      <c r="V28" s="764"/>
      <c r="W28" s="764"/>
      <c r="X28" s="761"/>
      <c r="Y28" s="916"/>
      <c r="Z28" s="764"/>
      <c r="AA28" s="767"/>
      <c r="AB28" s="764"/>
      <c r="AC28" s="764"/>
      <c r="AD28" s="764"/>
    </row>
    <row r="29" spans="1:30" ht="27" customHeight="1">
      <c r="A29" s="763"/>
      <c r="B29" s="818">
        <v>12</v>
      </c>
      <c r="C29" s="761">
        <v>8</v>
      </c>
      <c r="D29" s="883"/>
      <c r="E29" s="761"/>
      <c r="F29" s="761"/>
      <c r="G29" s="810"/>
      <c r="H29" s="874"/>
      <c r="I29" s="921" t="str">
        <f t="shared" si="1"/>
        <v>2.3</v>
      </c>
      <c r="J29" s="921" t="str">
        <f t="shared" si="2"/>
        <v>Расходы на химические реагенты, используемые в технологическом процессе</v>
      </c>
      <c r="K29" s="921">
        <f t="shared" si="3"/>
        <v>0</v>
      </c>
      <c r="L29" s="762" t="str">
        <f t="shared" si="4"/>
        <v>2.3</v>
      </c>
      <c r="M29" s="762" t="str">
        <f t="shared" si="5"/>
        <v>Расходы на химические реагенты, используемые в технологическом процессе</v>
      </c>
      <c r="N29" s="762" t="str">
        <f t="shared" si="6"/>
        <v/>
      </c>
      <c r="O29" s="873" t="s">
        <v>1380</v>
      </c>
      <c r="P29" s="873" t="s">
        <v>293</v>
      </c>
      <c r="Q29" s="873"/>
      <c r="R29" s="873" t="s">
        <v>293</v>
      </c>
      <c r="S29" s="873"/>
      <c r="T29" s="880" t="s">
        <v>1393</v>
      </c>
      <c r="U29" s="764" t="s">
        <v>1393</v>
      </c>
      <c r="V29" s="764"/>
      <c r="W29" s="764" t="s">
        <v>1393</v>
      </c>
      <c r="X29" s="761"/>
      <c r="Y29" s="916"/>
      <c r="Z29" s="764"/>
      <c r="AA29" s="767"/>
      <c r="AB29" s="764"/>
      <c r="AC29" s="764"/>
      <c r="AD29" s="764"/>
    </row>
    <row r="30" spans="1:30" ht="54" customHeight="1">
      <c r="A30" s="763"/>
      <c r="B30" s="818">
        <v>13</v>
      </c>
      <c r="C30" s="761">
        <v>9</v>
      </c>
      <c r="D30" s="883"/>
      <c r="E30" s="761"/>
      <c r="F30" s="761"/>
      <c r="G30" s="810"/>
      <c r="H30" s="874"/>
      <c r="I30" s="921" t="str">
        <f t="shared" si="1"/>
        <v>2.4</v>
      </c>
      <c r="J30" s="921"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1" t="str">
        <f t="shared" si="3"/>
        <v>Указывается общая сумма расходов на оплату труда и отчислений на социальные нужды основного производственного персонала.</v>
      </c>
      <c r="L30" s="762" t="str">
        <f t="shared" si="4"/>
        <v>2.4</v>
      </c>
      <c r="M30" s="76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62" t="str">
        <f t="shared" si="6"/>
        <v>Указывается общая сумма расходов на оплату труда и отчислений на социальные нужды основного производственного персонала.</v>
      </c>
      <c r="O30" s="873" t="s">
        <v>1394</v>
      </c>
      <c r="P30" s="873" t="s">
        <v>1378</v>
      </c>
      <c r="Q30" s="873" t="s">
        <v>1394</v>
      </c>
      <c r="R30" s="873" t="s">
        <v>1378</v>
      </c>
      <c r="S30" s="873"/>
      <c r="T30" s="880" t="s">
        <v>1395</v>
      </c>
      <c r="U30" s="764" t="s">
        <v>1395</v>
      </c>
      <c r="V30" s="764" t="s">
        <v>1395</v>
      </c>
      <c r="W30" s="764" t="s">
        <v>1395</v>
      </c>
      <c r="X30" s="761"/>
      <c r="Y30" s="916"/>
      <c r="Z30" s="764"/>
      <c r="AA30" s="767" t="s">
        <v>1396</v>
      </c>
      <c r="AB30" s="767" t="s">
        <v>1396</v>
      </c>
      <c r="AC30" s="767" t="s">
        <v>1396</v>
      </c>
      <c r="AD30" s="764"/>
    </row>
    <row r="31" spans="1:30" ht="18" customHeight="1">
      <c r="A31" s="763"/>
      <c r="B31" s="818">
        <v>14</v>
      </c>
      <c r="C31" s="761" t="s">
        <v>1397</v>
      </c>
      <c r="D31" s="883"/>
      <c r="E31" s="761"/>
      <c r="F31" s="761"/>
      <c r="G31" s="810"/>
      <c r="H31" s="874"/>
      <c r="I31" s="921" t="str">
        <f t="shared" si="1"/>
        <v>2.4.1</v>
      </c>
      <c r="J31" s="921" t="str">
        <f t="shared" si="2"/>
        <v>Расходы на оплату труда основного производственного персонала</v>
      </c>
      <c r="K31" s="921">
        <f t="shared" si="3"/>
        <v>0</v>
      </c>
      <c r="L31" s="762" t="str">
        <f t="shared" si="4"/>
        <v>2.4.1</v>
      </c>
      <c r="M31" s="762" t="str">
        <f t="shared" si="5"/>
        <v>Расходы на оплату труда основного производственного персонала</v>
      </c>
      <c r="N31" s="762" t="str">
        <f t="shared" si="6"/>
        <v/>
      </c>
      <c r="O31" s="873" t="s">
        <v>1398</v>
      </c>
      <c r="P31" s="873" t="s">
        <v>1399</v>
      </c>
      <c r="Q31" s="873" t="s">
        <v>1398</v>
      </c>
      <c r="R31" s="873" t="s">
        <v>1399</v>
      </c>
      <c r="S31" s="873"/>
      <c r="T31" s="881" t="s">
        <v>1400</v>
      </c>
      <c r="U31" s="764" t="s">
        <v>1400</v>
      </c>
      <c r="V31" s="764" t="s">
        <v>1400</v>
      </c>
      <c r="W31" s="764" t="s">
        <v>1400</v>
      </c>
      <c r="X31" s="761"/>
      <c r="Y31" s="916"/>
      <c r="Z31" s="764"/>
      <c r="AA31" s="767"/>
      <c r="AB31" s="767"/>
      <c r="AC31" s="767"/>
      <c r="AD31" s="764"/>
    </row>
    <row r="32" spans="1:30" ht="36" customHeight="1">
      <c r="A32" s="763"/>
      <c r="B32" s="818">
        <v>15</v>
      </c>
      <c r="C32" s="761" t="s">
        <v>1401</v>
      </c>
      <c r="D32" s="883"/>
      <c r="E32" s="761"/>
      <c r="F32" s="761"/>
      <c r="G32" s="810"/>
      <c r="H32" s="874"/>
      <c r="I32" s="921" t="str">
        <f t="shared" si="1"/>
        <v>2.4.2</v>
      </c>
      <c r="J32" s="921"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1">
        <f t="shared" si="3"/>
        <v>0</v>
      </c>
      <c r="L32" s="762" t="str">
        <f t="shared" si="4"/>
        <v>2.4.2</v>
      </c>
      <c r="M32" s="76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62" t="str">
        <f t="shared" si="6"/>
        <v/>
      </c>
      <c r="O32" s="873" t="s">
        <v>1402</v>
      </c>
      <c r="P32" s="873" t="s">
        <v>1403</v>
      </c>
      <c r="Q32" s="873" t="s">
        <v>1402</v>
      </c>
      <c r="R32" s="873" t="s">
        <v>1403</v>
      </c>
      <c r="S32" s="873"/>
      <c r="T32" s="882" t="s">
        <v>1404</v>
      </c>
      <c r="U32" s="764" t="s">
        <v>1404</v>
      </c>
      <c r="V32" s="764" t="s">
        <v>1404</v>
      </c>
      <c r="W32" s="764" t="s">
        <v>1404</v>
      </c>
      <c r="X32" s="761"/>
      <c r="Y32" s="916"/>
      <c r="Z32" s="764"/>
      <c r="AA32" s="767"/>
      <c r="AB32" s="767"/>
      <c r="AC32" s="767"/>
      <c r="AD32" s="764"/>
    </row>
    <row r="33" spans="1:30" ht="45" customHeight="1">
      <c r="A33" s="763"/>
      <c r="B33" s="818">
        <v>16</v>
      </c>
      <c r="C33" s="761">
        <v>10</v>
      </c>
      <c r="D33" s="883"/>
      <c r="E33" s="761"/>
      <c r="F33" s="761"/>
      <c r="G33" s="810"/>
      <c r="H33" s="874"/>
      <c r="I33" s="921" t="str">
        <f t="shared" si="1"/>
        <v>2.5</v>
      </c>
      <c r="J33" s="921"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1" t="str">
        <f t="shared" si="3"/>
        <v>Указывается общая сумма расходов на оплату труда и отчислений на социальные нужды административно-управленческого персонала.</v>
      </c>
      <c r="L33" s="762" t="str">
        <f t="shared" si="4"/>
        <v>2.5</v>
      </c>
      <c r="M33" s="76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62" t="str">
        <f t="shared" si="6"/>
        <v>Указывается общая сумма расходов на оплату труда и отчислений на социальные нужды административно-управленческого персонала.</v>
      </c>
      <c r="O33" s="873" t="s">
        <v>1405</v>
      </c>
      <c r="P33" s="873" t="s">
        <v>1380</v>
      </c>
      <c r="Q33" s="873" t="s">
        <v>1405</v>
      </c>
      <c r="R33" s="873" t="s">
        <v>1380</v>
      </c>
      <c r="S33" s="873"/>
      <c r="T33" s="881" t="s">
        <v>1406</v>
      </c>
      <c r="U33" s="764" t="s">
        <v>1406</v>
      </c>
      <c r="V33" s="764" t="s">
        <v>1406</v>
      </c>
      <c r="W33" s="764" t="s">
        <v>1407</v>
      </c>
      <c r="X33" s="761"/>
      <c r="Y33" s="916"/>
      <c r="Z33" s="764"/>
      <c r="AA33" s="767" t="s">
        <v>1408</v>
      </c>
      <c r="AB33" s="767" t="s">
        <v>1408</v>
      </c>
      <c r="AC33" s="767" t="s">
        <v>1408</v>
      </c>
      <c r="AD33" s="764"/>
    </row>
    <row r="34" spans="1:30" ht="27" customHeight="1">
      <c r="A34" s="763"/>
      <c r="B34" s="818">
        <v>17</v>
      </c>
      <c r="C34" s="761" t="s">
        <v>1409</v>
      </c>
      <c r="D34" s="883"/>
      <c r="E34" s="761"/>
      <c r="F34" s="761"/>
      <c r="G34" s="810"/>
      <c r="H34" s="874"/>
      <c r="I34" s="921" t="str">
        <f t="shared" si="1"/>
        <v>2.5.1</v>
      </c>
      <c r="J34" s="921" t="str">
        <f t="shared" si="2"/>
        <v>Расходы на оплату труда административно-управленческого персонала</v>
      </c>
      <c r="K34" s="921">
        <f t="shared" si="3"/>
        <v>0</v>
      </c>
      <c r="L34" s="762" t="str">
        <f t="shared" si="4"/>
        <v>2.5.1</v>
      </c>
      <c r="M34" s="762" t="str">
        <f t="shared" si="5"/>
        <v>Расходы на оплату труда административно-управленческого персонала</v>
      </c>
      <c r="N34" s="762" t="str">
        <f t="shared" si="6"/>
        <v/>
      </c>
      <c r="O34" s="873" t="s">
        <v>1410</v>
      </c>
      <c r="P34" s="873" t="s">
        <v>1385</v>
      </c>
      <c r="Q34" s="873" t="s">
        <v>1410</v>
      </c>
      <c r="R34" s="873" t="s">
        <v>1385</v>
      </c>
      <c r="S34" s="873"/>
      <c r="T34" s="882" t="s">
        <v>1411</v>
      </c>
      <c r="U34" s="764" t="s">
        <v>1411</v>
      </c>
      <c r="V34" s="764" t="s">
        <v>1411</v>
      </c>
      <c r="W34" s="764" t="s">
        <v>1412</v>
      </c>
      <c r="X34" s="761"/>
      <c r="Y34" s="916"/>
      <c r="Z34" s="764"/>
      <c r="AA34" s="767"/>
      <c r="AB34" s="764"/>
      <c r="AC34" s="764"/>
      <c r="AD34" s="764"/>
    </row>
    <row r="35" spans="1:30" ht="45" customHeight="1">
      <c r="A35" s="763"/>
      <c r="B35" s="818">
        <v>18</v>
      </c>
      <c r="C35" s="761" t="s">
        <v>1413</v>
      </c>
      <c r="D35" s="883"/>
      <c r="E35" s="761"/>
      <c r="F35" s="761"/>
      <c r="G35" s="810"/>
      <c r="H35" s="874"/>
      <c r="I35" s="921" t="str">
        <f t="shared" si="1"/>
        <v>2.5.2</v>
      </c>
      <c r="J35" s="921"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1">
        <f t="shared" si="3"/>
        <v>0</v>
      </c>
      <c r="L35" s="762" t="str">
        <f t="shared" si="4"/>
        <v>2.5.2</v>
      </c>
      <c r="M35" s="76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62" t="str">
        <f t="shared" si="6"/>
        <v/>
      </c>
      <c r="O35" s="873" t="s">
        <v>1414</v>
      </c>
      <c r="P35" s="873" t="s">
        <v>1390</v>
      </c>
      <c r="Q35" s="873" t="s">
        <v>1414</v>
      </c>
      <c r="R35" s="873" t="s">
        <v>1390</v>
      </c>
      <c r="S35" s="873"/>
      <c r="T35" s="880" t="s">
        <v>1415</v>
      </c>
      <c r="U35" s="764" t="s">
        <v>1415</v>
      </c>
      <c r="V35" s="764" t="s">
        <v>1415</v>
      </c>
      <c r="W35" s="764" t="s">
        <v>1415</v>
      </c>
      <c r="X35" s="761"/>
      <c r="Y35" s="916"/>
      <c r="Z35" s="764"/>
      <c r="AA35" s="767"/>
      <c r="AB35" s="764"/>
      <c r="AC35" s="764"/>
      <c r="AD35" s="764"/>
    </row>
    <row r="36" spans="1:30" ht="18" customHeight="1">
      <c r="A36" s="763"/>
      <c r="B36" s="818">
        <v>19</v>
      </c>
      <c r="C36" s="761">
        <v>11</v>
      </c>
      <c r="D36" s="883"/>
      <c r="E36" s="761"/>
      <c r="F36" s="761"/>
      <c r="G36" s="810"/>
      <c r="H36" s="874"/>
      <c r="I36" s="921" t="str">
        <f t="shared" si="1"/>
        <v>2.6</v>
      </c>
      <c r="J36" s="921" t="str">
        <f t="shared" si="2"/>
        <v>Расходы на амортизацию основных средств и нематериальных активов</v>
      </c>
      <c r="K36" s="921">
        <f t="shared" si="3"/>
        <v>0</v>
      </c>
      <c r="L36" s="762" t="str">
        <f t="shared" si="4"/>
        <v>2.6</v>
      </c>
      <c r="M36" s="762" t="str">
        <f t="shared" si="5"/>
        <v>Расходы на амортизацию основных средств и нематериальных активов</v>
      </c>
      <c r="N36" s="762" t="str">
        <f t="shared" si="6"/>
        <v/>
      </c>
      <c r="O36" s="873" t="s">
        <v>1416</v>
      </c>
      <c r="P36" s="873" t="s">
        <v>1394</v>
      </c>
      <c r="Q36" s="873" t="s">
        <v>1416</v>
      </c>
      <c r="R36" s="873" t="s">
        <v>1394</v>
      </c>
      <c r="S36" s="873"/>
      <c r="T36" s="880" t="s">
        <v>1417</v>
      </c>
      <c r="U36" s="764" t="s">
        <v>1417</v>
      </c>
      <c r="V36" s="764" t="s">
        <v>1417</v>
      </c>
      <c r="W36" s="764" t="s">
        <v>1417</v>
      </c>
      <c r="X36" s="761"/>
      <c r="Y36" s="916"/>
      <c r="Z36" s="764"/>
      <c r="AA36" s="767"/>
      <c r="AB36" s="764"/>
      <c r="AC36" s="764"/>
      <c r="AD36" s="764"/>
    </row>
    <row r="37" spans="1:30" ht="18" customHeight="1">
      <c r="A37" s="763"/>
      <c r="B37" s="818">
        <v>20</v>
      </c>
      <c r="C37" s="761" t="s">
        <v>1418</v>
      </c>
      <c r="D37" s="883"/>
      <c r="E37" s="761"/>
      <c r="F37" s="761"/>
      <c r="G37" s="810"/>
      <c r="H37" s="874"/>
      <c r="I37" s="921" t="str">
        <f t="shared" si="1"/>
        <v>2.6.1</v>
      </c>
      <c r="J37" s="921" t="str">
        <f t="shared" si="2"/>
        <v>Расходы на амортизацию основных средств</v>
      </c>
      <c r="K37" s="921">
        <f t="shared" si="3"/>
        <v>0</v>
      </c>
      <c r="L37" s="762" t="str">
        <f t="shared" si="4"/>
        <v>2.6.1</v>
      </c>
      <c r="M37" s="762" t="str">
        <f t="shared" si="5"/>
        <v>Расходы на амортизацию основных средств</v>
      </c>
      <c r="N37" s="762" t="str">
        <f t="shared" si="6"/>
        <v/>
      </c>
      <c r="O37" s="873" t="s">
        <v>1419</v>
      </c>
      <c r="P37" s="873" t="s">
        <v>1398</v>
      </c>
      <c r="Q37" s="873" t="s">
        <v>1419</v>
      </c>
      <c r="R37" s="873" t="s">
        <v>1398</v>
      </c>
      <c r="S37" s="873"/>
      <c r="T37" s="880" t="s">
        <v>1420</v>
      </c>
      <c r="U37" s="764" t="s">
        <v>1420</v>
      </c>
      <c r="V37" s="764" t="s">
        <v>1420</v>
      </c>
      <c r="W37" s="764" t="s">
        <v>1420</v>
      </c>
      <c r="X37" s="761"/>
      <c r="Y37" s="916"/>
      <c r="Z37" s="764"/>
      <c r="AA37" s="767"/>
      <c r="AB37" s="764"/>
      <c r="AC37" s="764"/>
      <c r="AD37" s="764"/>
    </row>
    <row r="38" spans="1:30" ht="18" customHeight="1">
      <c r="A38" s="763"/>
      <c r="B38" s="818">
        <v>21</v>
      </c>
      <c r="C38" s="761" t="s">
        <v>1421</v>
      </c>
      <c r="D38" s="883"/>
      <c r="E38" s="761"/>
      <c r="F38" s="761"/>
      <c r="G38" s="810"/>
      <c r="H38" s="874"/>
      <c r="I38" s="921" t="str">
        <f t="shared" si="1"/>
        <v>2.6.2</v>
      </c>
      <c r="J38" s="921" t="str">
        <f t="shared" si="2"/>
        <v>Расходы на амортизацию нематериальных активов</v>
      </c>
      <c r="K38" s="921">
        <f t="shared" si="3"/>
        <v>0</v>
      </c>
      <c r="L38" s="762" t="str">
        <f t="shared" si="4"/>
        <v>2.6.2</v>
      </c>
      <c r="M38" s="762" t="str">
        <f t="shared" si="5"/>
        <v>Расходы на амортизацию нематериальных активов</v>
      </c>
      <c r="N38" s="762" t="str">
        <f t="shared" si="6"/>
        <v/>
      </c>
      <c r="O38" s="873" t="s">
        <v>1422</v>
      </c>
      <c r="P38" s="873" t="s">
        <v>1402</v>
      </c>
      <c r="Q38" s="873" t="s">
        <v>1422</v>
      </c>
      <c r="R38" s="873" t="s">
        <v>1402</v>
      </c>
      <c r="S38" s="873"/>
      <c r="T38" s="880" t="s">
        <v>1423</v>
      </c>
      <c r="U38" s="764" t="s">
        <v>1423</v>
      </c>
      <c r="V38" s="764" t="s">
        <v>1423</v>
      </c>
      <c r="W38" s="764" t="s">
        <v>1423</v>
      </c>
      <c r="X38" s="761"/>
      <c r="Y38" s="916"/>
      <c r="Z38" s="764"/>
      <c r="AA38" s="767"/>
      <c r="AB38" s="764"/>
      <c r="AC38" s="764"/>
      <c r="AD38" s="764"/>
    </row>
    <row r="39" spans="1:30" ht="36" customHeight="1">
      <c r="A39" s="763"/>
      <c r="B39" s="818">
        <v>22</v>
      </c>
      <c r="C39" s="761">
        <v>12</v>
      </c>
      <c r="D39" s="883"/>
      <c r="E39" s="761"/>
      <c r="F39" s="761"/>
      <c r="G39" s="810"/>
      <c r="H39" s="874"/>
      <c r="I39" s="921" t="str">
        <f t="shared" si="1"/>
        <v>2.7</v>
      </c>
      <c r="J39" s="921" t="str">
        <f t="shared" si="2"/>
        <v>Расходы на аренду имущества, используемого для осуществления регулируемых видов деятельности в сфере холодного водоснабжения</v>
      </c>
      <c r="K39" s="921">
        <f t="shared" si="3"/>
        <v>0</v>
      </c>
      <c r="L39" s="762" t="str">
        <f t="shared" si="4"/>
        <v>2.7</v>
      </c>
      <c r="M39" s="762" t="str">
        <f t="shared" si="5"/>
        <v>Расходы на аренду имущества, используемого для осуществления регулируемых видов деятельности в сфере холодного водоснабжения</v>
      </c>
      <c r="N39" s="762" t="str">
        <f t="shared" si="6"/>
        <v/>
      </c>
      <c r="O39" s="873" t="s">
        <v>1424</v>
      </c>
      <c r="P39" s="873" t="s">
        <v>1405</v>
      </c>
      <c r="Q39" s="873" t="s">
        <v>1424</v>
      </c>
      <c r="R39" s="873" t="s">
        <v>1405</v>
      </c>
      <c r="S39" s="873"/>
      <c r="T39" s="880" t="s">
        <v>1425</v>
      </c>
      <c r="U39" s="764" t="s">
        <v>1426</v>
      </c>
      <c r="V39" s="764" t="s">
        <v>1427</v>
      </c>
      <c r="W39" s="764" t="s">
        <v>1428</v>
      </c>
      <c r="X39" s="761"/>
      <c r="Y39" s="916"/>
      <c r="Z39" s="764"/>
      <c r="AA39" s="767"/>
      <c r="AB39" s="764"/>
      <c r="AC39" s="764"/>
      <c r="AD39" s="764"/>
    </row>
    <row r="40" spans="1:30" ht="18" customHeight="1">
      <c r="A40" s="763"/>
      <c r="B40" s="818">
        <v>23</v>
      </c>
      <c r="C40" s="761">
        <v>13</v>
      </c>
      <c r="D40" s="883"/>
      <c r="E40" s="761"/>
      <c r="F40" s="761"/>
      <c r="G40" s="761"/>
      <c r="H40" s="813"/>
      <c r="I40" s="921" t="str">
        <f t="shared" si="1"/>
        <v>2.8</v>
      </c>
      <c r="J40" s="921" t="str">
        <f t="shared" si="2"/>
        <v>Общепроизводственные расходы, в том числе:</v>
      </c>
      <c r="K40" s="921" t="str">
        <f t="shared" si="3"/>
        <v>Указывается общая сумма общепроизводственных расходов.</v>
      </c>
      <c r="L40" s="762" t="str">
        <f t="shared" si="4"/>
        <v>2.8</v>
      </c>
      <c r="M40" s="762" t="str">
        <f t="shared" si="5"/>
        <v>Общепроизводственные расходы, в том числе:</v>
      </c>
      <c r="N40" s="762" t="str">
        <f t="shared" si="6"/>
        <v>Указывается общая сумма общепроизводственных расходов.</v>
      </c>
      <c r="O40" s="873" t="s">
        <v>1429</v>
      </c>
      <c r="P40" s="873" t="s">
        <v>1416</v>
      </c>
      <c r="Q40" s="873" t="s">
        <v>1429</v>
      </c>
      <c r="R40" s="873" t="s">
        <v>1416</v>
      </c>
      <c r="S40" s="873"/>
      <c r="T40" s="761" t="s">
        <v>1430</v>
      </c>
      <c r="U40" s="761" t="s">
        <v>1430</v>
      </c>
      <c r="V40" s="761" t="s">
        <v>1430</v>
      </c>
      <c r="W40" s="761" t="s">
        <v>1430</v>
      </c>
      <c r="X40" s="761"/>
      <c r="Y40" s="916"/>
      <c r="Z40" s="764" t="s">
        <v>1431</v>
      </c>
      <c r="AA40" s="767" t="s">
        <v>1431</v>
      </c>
      <c r="AB40" s="767" t="s">
        <v>1431</v>
      </c>
      <c r="AC40" s="767" t="s">
        <v>1431</v>
      </c>
      <c r="AD40" s="764"/>
    </row>
    <row r="41" spans="1:30" ht="27" customHeight="1">
      <c r="A41" s="763"/>
      <c r="B41" s="818">
        <v>24</v>
      </c>
      <c r="C41" s="761" t="s">
        <v>1432</v>
      </c>
      <c r="D41" s="883"/>
      <c r="E41" s="761"/>
      <c r="F41" s="761"/>
      <c r="G41" s="761"/>
      <c r="H41" s="810"/>
      <c r="I41" s="921" t="str">
        <f t="shared" si="1"/>
        <v>2.8.1</v>
      </c>
      <c r="J41" s="921" t="str">
        <f t="shared" si="2"/>
        <v>Расходы на текущий ремонт</v>
      </c>
      <c r="K41" s="921" t="str">
        <f t="shared" si="3"/>
        <v>Указываются расходы на текущий ремонт, отнесенные к общепроизводственным расходам.</v>
      </c>
      <c r="L41" s="762" t="str">
        <f t="shared" si="4"/>
        <v>2.8.1</v>
      </c>
      <c r="M41" s="762" t="str">
        <f t="shared" si="5"/>
        <v>Расходы на текущий ремонт</v>
      </c>
      <c r="N41" s="762" t="str">
        <f t="shared" si="6"/>
        <v>Указываются расходы на текущий ремонт, отнесенные к общепроизводственным расходам.</v>
      </c>
      <c r="O41" s="873" t="s">
        <v>1433</v>
      </c>
      <c r="P41" s="873" t="s">
        <v>1419</v>
      </c>
      <c r="Q41" s="873" t="s">
        <v>1433</v>
      </c>
      <c r="R41" s="873" t="s">
        <v>1419</v>
      </c>
      <c r="S41" s="873"/>
      <c r="T41" s="761" t="s">
        <v>1434</v>
      </c>
      <c r="U41" s="761" t="s">
        <v>1434</v>
      </c>
      <c r="V41" s="761" t="s">
        <v>1434</v>
      </c>
      <c r="W41" s="761" t="s">
        <v>1434</v>
      </c>
      <c r="X41" s="761"/>
      <c r="Y41" s="916"/>
      <c r="Z41" s="764" t="s">
        <v>1435</v>
      </c>
      <c r="AA41" s="764" t="s">
        <v>1435</v>
      </c>
      <c r="AB41" s="764" t="s">
        <v>1435</v>
      </c>
      <c r="AC41" s="764" t="s">
        <v>1435</v>
      </c>
      <c r="AD41" s="764"/>
    </row>
    <row r="42" spans="1:30" ht="27" customHeight="1">
      <c r="A42" s="763"/>
      <c r="B42" s="818">
        <v>25</v>
      </c>
      <c r="C42" s="761" t="s">
        <v>1436</v>
      </c>
      <c r="D42" s="883"/>
      <c r="E42" s="761"/>
      <c r="F42" s="761"/>
      <c r="G42" s="761"/>
      <c r="H42" s="810"/>
      <c r="I42" s="921" t="str">
        <f t="shared" si="1"/>
        <v>2.8.2</v>
      </c>
      <c r="J42" s="921" t="str">
        <f t="shared" si="2"/>
        <v>Расходы на капитальный ремонт</v>
      </c>
      <c r="K42" s="921" t="str">
        <f t="shared" si="3"/>
        <v>Указываются расходы на капитальный ремонт, отнесенные к общепроизводственным расходам.</v>
      </c>
      <c r="L42" s="762" t="str">
        <f t="shared" si="4"/>
        <v>2.8.2</v>
      </c>
      <c r="M42" s="762" t="str">
        <f t="shared" si="5"/>
        <v>Расходы на капитальный ремонт</v>
      </c>
      <c r="N42" s="762" t="str">
        <f t="shared" si="6"/>
        <v>Указываются расходы на капитальный ремонт, отнесенные к общепроизводственным расходам.</v>
      </c>
      <c r="O42" s="873" t="s">
        <v>1437</v>
      </c>
      <c r="P42" s="873" t="s">
        <v>1422</v>
      </c>
      <c r="Q42" s="873" t="s">
        <v>1437</v>
      </c>
      <c r="R42" s="873" t="s">
        <v>1422</v>
      </c>
      <c r="S42" s="873"/>
      <c r="T42" s="761" t="s">
        <v>1438</v>
      </c>
      <c r="U42" s="761" t="s">
        <v>1438</v>
      </c>
      <c r="V42" s="761" t="s">
        <v>1438</v>
      </c>
      <c r="W42" s="761" t="s">
        <v>1438</v>
      </c>
      <c r="X42" s="761"/>
      <c r="Y42" s="916"/>
      <c r="Z42" s="764" t="s">
        <v>1439</v>
      </c>
      <c r="AA42" s="764" t="s">
        <v>1439</v>
      </c>
      <c r="AB42" s="764" t="s">
        <v>1439</v>
      </c>
      <c r="AC42" s="764" t="s">
        <v>1439</v>
      </c>
      <c r="AD42" s="764"/>
    </row>
    <row r="43" spans="1:30" ht="18" customHeight="1">
      <c r="A43" s="763"/>
      <c r="B43" s="818">
        <v>26</v>
      </c>
      <c r="C43" s="761">
        <v>14</v>
      </c>
      <c r="D43" s="883"/>
      <c r="E43" s="761"/>
      <c r="F43" s="761"/>
      <c r="G43" s="761"/>
      <c r="H43" s="810"/>
      <c r="I43" s="921" t="str">
        <f t="shared" si="1"/>
        <v>2.9</v>
      </c>
      <c r="J43" s="921" t="str">
        <f t="shared" si="2"/>
        <v>Общехозяйственные расходы, в том числе:</v>
      </c>
      <c r="K43" s="921" t="str">
        <f t="shared" si="3"/>
        <v>Указывается общая сумма общехозяйственных расходов.</v>
      </c>
      <c r="L43" s="762" t="str">
        <f t="shared" si="4"/>
        <v>2.9</v>
      </c>
      <c r="M43" s="762" t="str">
        <f t="shared" si="5"/>
        <v>Общехозяйственные расходы, в том числе:</v>
      </c>
      <c r="N43" s="762" t="str">
        <f t="shared" si="6"/>
        <v>Указывается общая сумма общехозяйственных расходов.</v>
      </c>
      <c r="O43" s="873" t="s">
        <v>1440</v>
      </c>
      <c r="P43" s="873" t="s">
        <v>1424</v>
      </c>
      <c r="Q43" s="873" t="s">
        <v>1440</v>
      </c>
      <c r="R43" s="873" t="s">
        <v>1424</v>
      </c>
      <c r="S43" s="873"/>
      <c r="T43" s="761" t="s">
        <v>1441</v>
      </c>
      <c r="U43" s="761" t="s">
        <v>1441</v>
      </c>
      <c r="V43" s="761" t="s">
        <v>1441</v>
      </c>
      <c r="W43" s="761" t="s">
        <v>1441</v>
      </c>
      <c r="X43" s="761"/>
      <c r="Y43" s="916"/>
      <c r="Z43" s="764" t="s">
        <v>1442</v>
      </c>
      <c r="AA43" s="764" t="s">
        <v>1442</v>
      </c>
      <c r="AB43" s="764" t="s">
        <v>1442</v>
      </c>
      <c r="AC43" s="764" t="s">
        <v>1442</v>
      </c>
      <c r="AD43" s="764"/>
    </row>
    <row r="44" spans="1:30" ht="27" customHeight="1">
      <c r="A44" s="763"/>
      <c r="B44" s="818">
        <v>27</v>
      </c>
      <c r="C44" s="761" t="s">
        <v>1443</v>
      </c>
      <c r="D44" s="883"/>
      <c r="E44" s="761"/>
      <c r="F44" s="761"/>
      <c r="G44" s="761"/>
      <c r="H44" s="810"/>
      <c r="I44" s="921" t="str">
        <f t="shared" si="1"/>
        <v>2.9.1</v>
      </c>
      <c r="J44" s="921" t="str">
        <f t="shared" si="2"/>
        <v>Расходы на текущий ремонт</v>
      </c>
      <c r="K44" s="921" t="str">
        <f t="shared" si="3"/>
        <v>Указываются расходы на текущий ремонт, отнесенные к общехозяйственным расходам.</v>
      </c>
      <c r="L44" s="762" t="str">
        <f t="shared" si="4"/>
        <v>2.9.1</v>
      </c>
      <c r="M44" s="762" t="str">
        <f t="shared" si="5"/>
        <v>Расходы на текущий ремонт</v>
      </c>
      <c r="N44" s="762" t="str">
        <f t="shared" si="6"/>
        <v>Указываются расходы на текущий ремонт, отнесенные к общехозяйственным расходам.</v>
      </c>
      <c r="O44" s="873" t="s">
        <v>1444</v>
      </c>
      <c r="P44" s="873" t="s">
        <v>1445</v>
      </c>
      <c r="Q44" s="873" t="s">
        <v>1444</v>
      </c>
      <c r="R44" s="873" t="s">
        <v>1445</v>
      </c>
      <c r="S44" s="873"/>
      <c r="T44" s="761" t="s">
        <v>1434</v>
      </c>
      <c r="U44" s="761" t="s">
        <v>1434</v>
      </c>
      <c r="V44" s="761" t="s">
        <v>1434</v>
      </c>
      <c r="W44" s="761" t="s">
        <v>1434</v>
      </c>
      <c r="X44" s="761"/>
      <c r="Y44" s="916"/>
      <c r="Z44" s="764" t="s">
        <v>1446</v>
      </c>
      <c r="AA44" s="764" t="s">
        <v>1446</v>
      </c>
      <c r="AB44" s="764" t="s">
        <v>1446</v>
      </c>
      <c r="AC44" s="764" t="s">
        <v>1446</v>
      </c>
      <c r="AD44" s="764"/>
    </row>
    <row r="45" spans="1:30" ht="27" customHeight="1">
      <c r="A45" s="763"/>
      <c r="B45" s="818">
        <v>28</v>
      </c>
      <c r="C45" s="761" t="s">
        <v>1447</v>
      </c>
      <c r="D45" s="883"/>
      <c r="E45" s="761"/>
      <c r="F45" s="761"/>
      <c r="G45" s="761"/>
      <c r="H45" s="810"/>
      <c r="I45" s="921" t="str">
        <f t="shared" si="1"/>
        <v>2.9.2</v>
      </c>
      <c r="J45" s="921" t="str">
        <f t="shared" si="2"/>
        <v>Расходы на капитальный ремонт</v>
      </c>
      <c r="K45" s="921" t="str">
        <f t="shared" si="3"/>
        <v>Указываются расходы на капитальный ремонт, отнесенные к общехозяйственным расходам.</v>
      </c>
      <c r="L45" s="762" t="str">
        <f t="shared" si="4"/>
        <v>2.9.2</v>
      </c>
      <c r="M45" s="762" t="str">
        <f t="shared" si="5"/>
        <v>Расходы на капитальный ремонт</v>
      </c>
      <c r="N45" s="762" t="str">
        <f t="shared" si="6"/>
        <v>Указываются расходы на капитальный ремонт, отнесенные к общехозяйственным расходам.</v>
      </c>
      <c r="O45" s="873" t="s">
        <v>1448</v>
      </c>
      <c r="P45" s="873" t="s">
        <v>1449</v>
      </c>
      <c r="Q45" s="873" t="s">
        <v>1448</v>
      </c>
      <c r="R45" s="873" t="s">
        <v>1449</v>
      </c>
      <c r="S45" s="873"/>
      <c r="T45" s="761" t="s">
        <v>1438</v>
      </c>
      <c r="U45" s="761" t="s">
        <v>1438</v>
      </c>
      <c r="V45" s="761" t="s">
        <v>1438</v>
      </c>
      <c r="W45" s="761" t="s">
        <v>1438</v>
      </c>
      <c r="X45" s="761"/>
      <c r="Y45" s="916"/>
      <c r="Z45" s="764" t="s">
        <v>1450</v>
      </c>
      <c r="AA45" s="764" t="s">
        <v>1450</v>
      </c>
      <c r="AB45" s="764" t="s">
        <v>1450</v>
      </c>
      <c r="AC45" s="764" t="s">
        <v>1450</v>
      </c>
      <c r="AD45" s="764"/>
    </row>
    <row r="46" spans="1:30" ht="54" customHeight="1">
      <c r="A46" s="763"/>
      <c r="B46" s="818">
        <v>29</v>
      </c>
      <c r="C46" s="761">
        <v>15</v>
      </c>
      <c r="D46" s="883"/>
      <c r="E46" s="761"/>
      <c r="F46" s="761"/>
      <c r="G46" s="761"/>
      <c r="H46" s="810"/>
      <c r="I46" s="921" t="str">
        <f t="shared" si="1"/>
        <v>2.10</v>
      </c>
      <c r="J46" s="921" t="str">
        <f t="shared" si="2"/>
        <v>Расходы на капитальный и текущий ремонт основных средств</v>
      </c>
      <c r="K46" s="921"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62" t="str">
        <f t="shared" si="4"/>
        <v>2.10</v>
      </c>
      <c r="M46" s="762" t="str">
        <f t="shared" si="5"/>
        <v>Расходы на капитальный и текущий ремонт основных средств</v>
      </c>
      <c r="N46" s="76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73" t="s">
        <v>1451</v>
      </c>
      <c r="P46" s="873" t="s">
        <v>1429</v>
      </c>
      <c r="Q46" s="873" t="s">
        <v>1451</v>
      </c>
      <c r="R46" s="873" t="s">
        <v>1429</v>
      </c>
      <c r="S46" s="873"/>
      <c r="T46" s="761" t="s">
        <v>1452</v>
      </c>
      <c r="U46" s="761" t="s">
        <v>1452</v>
      </c>
      <c r="V46" s="761" t="s">
        <v>1452</v>
      </c>
      <c r="W46" s="761" t="s">
        <v>1452</v>
      </c>
      <c r="X46" s="761"/>
      <c r="Y46" s="916"/>
      <c r="Z46" s="764" t="s">
        <v>1453</v>
      </c>
      <c r="AA46" s="764" t="s">
        <v>1454</v>
      </c>
      <c r="AB46" s="764" t="s">
        <v>1454</v>
      </c>
      <c r="AC46" s="764" t="s">
        <v>1454</v>
      </c>
      <c r="AD46" s="764"/>
    </row>
    <row r="47" spans="1:30" ht="54" customHeight="1">
      <c r="A47" s="763"/>
      <c r="B47" s="818">
        <v>30</v>
      </c>
      <c r="C47" s="761" t="s">
        <v>1455</v>
      </c>
      <c r="D47" s="883"/>
      <c r="E47" s="761"/>
      <c r="F47" s="761"/>
      <c r="G47" s="761"/>
      <c r="H47" s="810"/>
      <c r="I47" s="921" t="str">
        <f t="shared" si="1"/>
        <v>2.10.1</v>
      </c>
      <c r="J47" s="92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1">
        <f t="shared" si="3"/>
        <v>0</v>
      </c>
      <c r="L47" s="762" t="str">
        <f t="shared" si="4"/>
        <v>2.10.1</v>
      </c>
      <c r="M47" s="76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62" t="str">
        <f t="shared" si="6"/>
        <v/>
      </c>
      <c r="O47" s="873" t="s">
        <v>1456</v>
      </c>
      <c r="P47" s="873" t="s">
        <v>1433</v>
      </c>
      <c r="Q47" s="873" t="s">
        <v>1456</v>
      </c>
      <c r="R47" s="873" t="s">
        <v>1433</v>
      </c>
      <c r="S47" s="873"/>
      <c r="T47" s="761" t="s">
        <v>1457</v>
      </c>
      <c r="U47" s="761" t="s">
        <v>1457</v>
      </c>
      <c r="V47" s="761" t="s">
        <v>1457</v>
      </c>
      <c r="W47" s="761" t="s">
        <v>1457</v>
      </c>
      <c r="X47" s="761"/>
      <c r="Y47" s="916"/>
      <c r="Z47" s="764"/>
      <c r="AA47" s="767"/>
      <c r="AB47" s="767"/>
      <c r="AC47" s="767"/>
      <c r="AD47" s="764"/>
    </row>
    <row r="48" spans="1:30" ht="54" customHeight="1">
      <c r="A48" s="763"/>
      <c r="B48" s="818">
        <v>31</v>
      </c>
      <c r="C48" s="761">
        <v>16</v>
      </c>
      <c r="D48" s="883"/>
      <c r="E48" s="761"/>
      <c r="F48" s="761"/>
      <c r="G48" s="761"/>
      <c r="H48" s="810"/>
      <c r="I48" s="921" t="str">
        <f t="shared" si="1"/>
        <v>2.11</v>
      </c>
      <c r="J48" s="921"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21"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62" t="str">
        <f t="shared" si="4"/>
        <v>2.11</v>
      </c>
      <c r="M48" s="762"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62"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73"/>
      <c r="P48" s="873" t="s">
        <v>1440</v>
      </c>
      <c r="Q48" s="873" t="s">
        <v>1458</v>
      </c>
      <c r="R48" s="873" t="s">
        <v>1440</v>
      </c>
      <c r="S48" s="873"/>
      <c r="T48" s="761"/>
      <c r="U48" s="761" t="s">
        <v>1459</v>
      </c>
      <c r="V48" s="761" t="s">
        <v>1460</v>
      </c>
      <c r="W48" s="761" t="s">
        <v>1460</v>
      </c>
      <c r="X48" s="761"/>
      <c r="Y48" s="916"/>
      <c r="Z48" s="764"/>
      <c r="AA48" s="767" t="s">
        <v>1454</v>
      </c>
      <c r="AB48" s="767" t="s">
        <v>1454</v>
      </c>
      <c r="AC48" s="767" t="s">
        <v>1454</v>
      </c>
      <c r="AD48" s="764"/>
    </row>
    <row r="49" spans="1:30" ht="54" customHeight="1">
      <c r="A49" s="763"/>
      <c r="B49" s="818">
        <v>32</v>
      </c>
      <c r="C49" s="761" t="s">
        <v>1461</v>
      </c>
      <c r="D49" s="883"/>
      <c r="E49" s="761"/>
      <c r="F49" s="761"/>
      <c r="G49" s="761"/>
      <c r="H49" s="810"/>
      <c r="I49" s="921" t="str">
        <f t="shared" si="1"/>
        <v>2.11.1</v>
      </c>
      <c r="J49" s="92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21">
        <f t="shared" si="3"/>
        <v>0</v>
      </c>
      <c r="L49" s="762" t="str">
        <f t="shared" si="4"/>
        <v>2.11.1</v>
      </c>
      <c r="M49" s="76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62" t="str">
        <f t="shared" si="6"/>
        <v/>
      </c>
      <c r="O49" s="873"/>
      <c r="P49" s="873" t="s">
        <v>1444</v>
      </c>
      <c r="Q49" s="873" t="s">
        <v>1462</v>
      </c>
      <c r="R49" s="873" t="s">
        <v>1444</v>
      </c>
      <c r="S49" s="873"/>
      <c r="T49" s="761"/>
      <c r="U49" s="761" t="s">
        <v>1457</v>
      </c>
      <c r="V49" s="761" t="s">
        <v>1457</v>
      </c>
      <c r="W49" s="761" t="s">
        <v>1457</v>
      </c>
      <c r="X49" s="761"/>
      <c r="Y49" s="916"/>
      <c r="Z49" s="764"/>
      <c r="AA49" s="767"/>
      <c r="AB49" s="767"/>
      <c r="AC49" s="767"/>
      <c r="AD49" s="764"/>
    </row>
    <row r="50" spans="1:30" ht="126" customHeight="1">
      <c r="A50" s="763"/>
      <c r="B50" s="818">
        <v>33</v>
      </c>
      <c r="C50" s="761">
        <v>17</v>
      </c>
      <c r="D50" s="883"/>
      <c r="E50" s="761"/>
      <c r="F50" s="761"/>
      <c r="G50" s="761"/>
      <c r="H50" s="810"/>
      <c r="I50" s="921" t="str">
        <f t="shared" ref="I50:I81" si="7">INDEX(TEMPLATE_NUMBER_POINT_FHD,B50,MATCH(TEMPLATE_SPHERE,TEMPLATE_SPHERE_LIST_FOR_NOTE,0))</f>
        <v>2.12</v>
      </c>
      <c r="J50" s="921"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21"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62" t="str">
        <f t="shared" ref="L50:L81" si="10">IF(I50=0,"",I50)</f>
        <v>2.12</v>
      </c>
      <c r="M50" s="762"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62"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73" t="s">
        <v>1458</v>
      </c>
      <c r="P50" s="873" t="s">
        <v>1451</v>
      </c>
      <c r="Q50" s="873" t="s">
        <v>1463</v>
      </c>
      <c r="R50" s="873" t="s">
        <v>1451</v>
      </c>
      <c r="S50" s="873"/>
      <c r="T50" s="761" t="s">
        <v>1464</v>
      </c>
      <c r="U50" s="761" t="s">
        <v>1465</v>
      </c>
      <c r="V50" s="761" t="s">
        <v>1466</v>
      </c>
      <c r="W50" s="761" t="s">
        <v>1467</v>
      </c>
      <c r="X50" s="761"/>
      <c r="Y50" s="916"/>
      <c r="Z50" s="764" t="s">
        <v>1468</v>
      </c>
      <c r="AA50" s="767" t="s">
        <v>1469</v>
      </c>
      <c r="AB50" s="767" t="s">
        <v>1469</v>
      </c>
      <c r="AC50" s="767" t="s">
        <v>1469</v>
      </c>
      <c r="AD50" s="764"/>
    </row>
    <row r="51" spans="1:30" ht="27" customHeight="1">
      <c r="A51" s="763"/>
      <c r="B51" s="818">
        <v>34</v>
      </c>
      <c r="C51" s="761" t="s">
        <v>1470</v>
      </c>
      <c r="D51" s="883"/>
      <c r="E51" s="761"/>
      <c r="F51" s="761"/>
      <c r="G51" s="761"/>
      <c r="H51" s="810"/>
      <c r="I51" s="921">
        <f t="shared" si="7"/>
        <v>0</v>
      </c>
      <c r="J51" s="921">
        <f t="shared" si="8"/>
        <v>0</v>
      </c>
      <c r="K51" s="921">
        <f t="shared" si="9"/>
        <v>0</v>
      </c>
      <c r="L51" s="762" t="str">
        <f t="shared" si="10"/>
        <v/>
      </c>
      <c r="M51" s="762" t="str">
        <f t="shared" si="11"/>
        <v/>
      </c>
      <c r="N51" s="762" t="str">
        <f t="shared" si="12"/>
        <v/>
      </c>
      <c r="O51" s="873" t="s">
        <v>89</v>
      </c>
      <c r="P51" s="873"/>
      <c r="Q51" s="873"/>
      <c r="R51" s="873"/>
      <c r="S51" s="873"/>
      <c r="T51" s="761" t="s">
        <v>1471</v>
      </c>
      <c r="U51" s="761"/>
      <c r="V51" s="761"/>
      <c r="W51" s="761"/>
      <c r="X51" s="761"/>
      <c r="Y51" s="916"/>
      <c r="Z51" s="764"/>
      <c r="AA51" s="767"/>
      <c r="AB51" s="767"/>
      <c r="AC51" s="767"/>
      <c r="AD51" s="764"/>
    </row>
    <row r="52" spans="1:30" ht="36" customHeight="1">
      <c r="A52" s="763"/>
      <c r="B52" s="818">
        <v>35</v>
      </c>
      <c r="C52" s="761" t="s">
        <v>1350</v>
      </c>
      <c r="D52" s="883" t="s">
        <v>1350</v>
      </c>
      <c r="E52" s="761" t="s">
        <v>1350</v>
      </c>
      <c r="F52" s="761" t="s">
        <v>1350</v>
      </c>
      <c r="G52" s="761"/>
      <c r="H52" s="810"/>
      <c r="I52" s="921" t="str">
        <f t="shared" si="7"/>
        <v>3</v>
      </c>
      <c r="J52" s="921" t="str">
        <f t="shared" si="8"/>
        <v>Чистая прибыль, полученная от регулируемого вида деятельности в сфере холодного водоснабжения, в том числе:</v>
      </c>
      <c r="K52" s="921" t="str">
        <f t="shared" si="9"/>
        <v>Указывается общая сумма чистой прибыли, полученной от регулируемого вида деятельности.</v>
      </c>
      <c r="L52" s="762" t="str">
        <f t="shared" si="10"/>
        <v>3</v>
      </c>
      <c r="M52" s="762" t="str">
        <f t="shared" si="11"/>
        <v>Чистая прибыль, полученная от регулируемого вида деятельности в сфере холодного водоснабжения, в том числе:</v>
      </c>
      <c r="N52" s="762" t="str">
        <f t="shared" si="12"/>
        <v>Указывается общая сумма чистой прибыли, полученной от регулируемого вида деятельности.</v>
      </c>
      <c r="O52" s="873" t="s">
        <v>90</v>
      </c>
      <c r="P52" s="873" t="s">
        <v>89</v>
      </c>
      <c r="Q52" s="873" t="s">
        <v>89</v>
      </c>
      <c r="R52" s="873" t="s">
        <v>89</v>
      </c>
      <c r="S52" s="873"/>
      <c r="T52" s="761" t="s">
        <v>1472</v>
      </c>
      <c r="U52" s="761" t="s">
        <v>1473</v>
      </c>
      <c r="V52" s="761" t="s">
        <v>1474</v>
      </c>
      <c r="W52" s="761" t="s">
        <v>1475</v>
      </c>
      <c r="X52" s="761"/>
      <c r="Y52" s="916"/>
      <c r="Z52" s="764" t="s">
        <v>1476</v>
      </c>
      <c r="AA52" s="767" t="s">
        <v>1476</v>
      </c>
      <c r="AB52" s="767" t="s">
        <v>1476</v>
      </c>
      <c r="AC52" s="767" t="s">
        <v>1476</v>
      </c>
      <c r="AD52" s="764"/>
    </row>
    <row r="53" spans="1:30" ht="36" customHeight="1">
      <c r="A53" s="763"/>
      <c r="B53" s="818">
        <v>36</v>
      </c>
      <c r="C53" s="761">
        <v>1</v>
      </c>
      <c r="D53" s="883"/>
      <c r="E53" s="761"/>
      <c r="F53" s="761"/>
      <c r="G53" s="761"/>
      <c r="H53" s="810"/>
      <c r="I53" s="921" t="str">
        <f t="shared" si="7"/>
        <v>3.1</v>
      </c>
      <c r="J53" s="921"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1">
        <f t="shared" si="9"/>
        <v>0</v>
      </c>
      <c r="L53" s="762" t="str">
        <f t="shared" si="10"/>
        <v>3.1</v>
      </c>
      <c r="M53" s="76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62" t="str">
        <f t="shared" si="12"/>
        <v/>
      </c>
      <c r="O53" s="873" t="s">
        <v>1477</v>
      </c>
      <c r="P53" s="873" t="s">
        <v>311</v>
      </c>
      <c r="Q53" s="873" t="s">
        <v>311</v>
      </c>
      <c r="R53" s="873" t="s">
        <v>311</v>
      </c>
      <c r="S53" s="873"/>
      <c r="T53" s="761" t="s">
        <v>1478</v>
      </c>
      <c r="U53" s="761" t="s">
        <v>1478</v>
      </c>
      <c r="V53" s="761" t="s">
        <v>1478</v>
      </c>
      <c r="W53" s="761" t="s">
        <v>1478</v>
      </c>
      <c r="X53" s="761"/>
      <c r="Y53" s="916"/>
      <c r="Z53" s="764"/>
      <c r="AA53" s="767"/>
      <c r="AB53" s="764"/>
      <c r="AC53" s="764"/>
      <c r="AD53" s="764"/>
    </row>
    <row r="54" spans="1:30" ht="18" customHeight="1">
      <c r="A54" s="763"/>
      <c r="B54" s="818">
        <v>37</v>
      </c>
      <c r="C54" s="761" t="s">
        <v>1356</v>
      </c>
      <c r="D54" s="883" t="s">
        <v>1356</v>
      </c>
      <c r="E54" s="761" t="s">
        <v>1356</v>
      </c>
      <c r="F54" s="761" t="s">
        <v>1356</v>
      </c>
      <c r="G54" s="761"/>
      <c r="H54" s="810"/>
      <c r="I54" s="921" t="str">
        <f t="shared" si="7"/>
        <v>4</v>
      </c>
      <c r="J54" s="921" t="str">
        <f t="shared" si="8"/>
        <v>Изменение стоимости основных фондов, в том числе:</v>
      </c>
      <c r="K54" s="921" t="str">
        <f t="shared" si="9"/>
        <v>Указывается общее изменение стоимости основных фондов.</v>
      </c>
      <c r="L54" s="762" t="str">
        <f t="shared" si="10"/>
        <v>4</v>
      </c>
      <c r="M54" s="762" t="str">
        <f t="shared" si="11"/>
        <v>Изменение стоимости основных фондов, в том числе:</v>
      </c>
      <c r="N54" s="762" t="str">
        <f t="shared" si="12"/>
        <v>Указывается общее изменение стоимости основных фондов.</v>
      </c>
      <c r="O54" s="873" t="s">
        <v>107</v>
      </c>
      <c r="P54" s="873" t="s">
        <v>90</v>
      </c>
      <c r="Q54" s="873" t="s">
        <v>90</v>
      </c>
      <c r="R54" s="873" t="s">
        <v>90</v>
      </c>
      <c r="S54" s="873"/>
      <c r="T54" s="761" t="s">
        <v>1479</v>
      </c>
      <c r="U54" s="761" t="s">
        <v>1479</v>
      </c>
      <c r="V54" s="761" t="s">
        <v>1479</v>
      </c>
      <c r="W54" s="761" t="s">
        <v>1479</v>
      </c>
      <c r="X54" s="761"/>
      <c r="Y54" s="916"/>
      <c r="Z54" s="764" t="s">
        <v>1480</v>
      </c>
      <c r="AA54" s="764" t="s">
        <v>1480</v>
      </c>
      <c r="AB54" s="764" t="s">
        <v>1480</v>
      </c>
      <c r="AC54" s="764" t="s">
        <v>1480</v>
      </c>
      <c r="AD54" s="764"/>
    </row>
    <row r="55" spans="1:30" ht="36" customHeight="1">
      <c r="A55" s="763"/>
      <c r="B55" s="818">
        <v>38</v>
      </c>
      <c r="C55" s="761">
        <v>1</v>
      </c>
      <c r="D55" s="883"/>
      <c r="E55" s="761"/>
      <c r="F55" s="761"/>
      <c r="G55" s="761"/>
      <c r="H55" s="810"/>
      <c r="I55" s="921" t="str">
        <f t="shared" si="7"/>
        <v>4.1</v>
      </c>
      <c r="J55" s="921" t="str">
        <f t="shared" si="8"/>
        <v>Изменение стоимости основных фондов за счет их ввода в эксплуатацию (вывода из эксплуатации)</v>
      </c>
      <c r="K55" s="921" t="str">
        <f t="shared" si="9"/>
        <v>Указываются общее изменение стоимости основных фондов за счет их ввода в эксплуатацию и вывода из эксплуатации.</v>
      </c>
      <c r="L55" s="762" t="str">
        <f t="shared" si="10"/>
        <v>4.1</v>
      </c>
      <c r="M55" s="762" t="str">
        <f t="shared" si="11"/>
        <v>Изменение стоимости основных фондов за счет их ввода в эксплуатацию (вывода из эксплуатации)</v>
      </c>
      <c r="N55" s="762" t="str">
        <f t="shared" si="12"/>
        <v>Указываются общее изменение стоимости основных фондов за счет их ввода в эксплуатацию и вывода из эксплуатации.</v>
      </c>
      <c r="O55" s="873" t="s">
        <v>300</v>
      </c>
      <c r="P55" s="873" t="s">
        <v>1477</v>
      </c>
      <c r="Q55" s="873" t="s">
        <v>1477</v>
      </c>
      <c r="R55" s="873" t="s">
        <v>1477</v>
      </c>
      <c r="S55" s="873"/>
      <c r="T55" s="761" t="s">
        <v>1481</v>
      </c>
      <c r="U55" s="761" t="s">
        <v>1482</v>
      </c>
      <c r="V55" s="761" t="s">
        <v>1482</v>
      </c>
      <c r="W55" s="761" t="s">
        <v>1482</v>
      </c>
      <c r="X55" s="761"/>
      <c r="Y55" s="916"/>
      <c r="Z55" s="764" t="s">
        <v>1483</v>
      </c>
      <c r="AA55" s="764" t="s">
        <v>1483</v>
      </c>
      <c r="AB55" s="764" t="s">
        <v>1483</v>
      </c>
      <c r="AC55" s="764" t="s">
        <v>1483</v>
      </c>
      <c r="AD55" s="764"/>
    </row>
    <row r="56" spans="1:30" ht="27" customHeight="1">
      <c r="A56" s="763"/>
      <c r="B56" s="818">
        <v>39</v>
      </c>
      <c r="C56" s="761" t="s">
        <v>441</v>
      </c>
      <c r="D56" s="883"/>
      <c r="E56" s="761"/>
      <c r="F56" s="761"/>
      <c r="G56" s="761"/>
      <c r="H56" s="810"/>
      <c r="I56" s="921" t="str">
        <f t="shared" si="7"/>
        <v>4.1.1</v>
      </c>
      <c r="J56" s="921" t="str">
        <f t="shared" si="8"/>
        <v>Изменение стоимости основных фондов за счет их ввода в эксплуатацию</v>
      </c>
      <c r="K56" s="921" t="str">
        <f t="shared" si="9"/>
        <v>Указываются изменение стоимости основных фондов за счет их ввода в эксплуатацию.</v>
      </c>
      <c r="L56" s="762" t="str">
        <f t="shared" si="10"/>
        <v>4.1.1</v>
      </c>
      <c r="M56" s="762" t="str">
        <f t="shared" si="11"/>
        <v>Изменение стоимости основных фондов за счет их ввода в эксплуатацию</v>
      </c>
      <c r="N56" s="762" t="str">
        <f t="shared" si="12"/>
        <v>Указываются изменение стоимости основных фондов за счет их ввода в эксплуатацию.</v>
      </c>
      <c r="O56" s="873" t="s">
        <v>1484</v>
      </c>
      <c r="P56" s="873" t="s">
        <v>1485</v>
      </c>
      <c r="Q56" s="873" t="s">
        <v>1485</v>
      </c>
      <c r="R56" s="873" t="s">
        <v>1485</v>
      </c>
      <c r="S56" s="873"/>
      <c r="T56" s="761" t="s">
        <v>1486</v>
      </c>
      <c r="U56" s="761" t="s">
        <v>1487</v>
      </c>
      <c r="V56" s="761" t="s">
        <v>1487</v>
      </c>
      <c r="W56" s="761" t="s">
        <v>1487</v>
      </c>
      <c r="X56" s="761"/>
      <c r="Y56" s="916"/>
      <c r="Z56" s="764" t="s">
        <v>1488</v>
      </c>
      <c r="AA56" s="764" t="s">
        <v>1488</v>
      </c>
      <c r="AB56" s="764" t="s">
        <v>1488</v>
      </c>
      <c r="AC56" s="764" t="s">
        <v>1488</v>
      </c>
      <c r="AD56" s="764"/>
    </row>
    <row r="57" spans="1:30" ht="27" customHeight="1">
      <c r="A57" s="763"/>
      <c r="B57" s="818">
        <v>40</v>
      </c>
      <c r="C57" s="761" t="s">
        <v>456</v>
      </c>
      <c r="D57" s="883"/>
      <c r="E57" s="761"/>
      <c r="F57" s="761"/>
      <c r="G57" s="761"/>
      <c r="H57" s="810"/>
      <c r="I57" s="921" t="str">
        <f t="shared" si="7"/>
        <v>4.1.2</v>
      </c>
      <c r="J57" s="921" t="str">
        <f t="shared" si="8"/>
        <v>Изменение стоимости основных фондов за счет их вывода в эксплуатацию</v>
      </c>
      <c r="K57" s="921" t="str">
        <f t="shared" si="9"/>
        <v>Указываются изменение стоимости основных фондов за счет их вывода из эксплуатации.</v>
      </c>
      <c r="L57" s="762" t="str">
        <f t="shared" si="10"/>
        <v>4.1.2</v>
      </c>
      <c r="M57" s="762" t="str">
        <f t="shared" si="11"/>
        <v>Изменение стоимости основных фондов за счет их вывода в эксплуатацию</v>
      </c>
      <c r="N57" s="762" t="str">
        <f t="shared" si="12"/>
        <v>Указываются изменение стоимости основных фондов за счет их вывода из эксплуатации.</v>
      </c>
      <c r="O57" s="873" t="s">
        <v>1489</v>
      </c>
      <c r="P57" s="873" t="s">
        <v>1490</v>
      </c>
      <c r="Q57" s="873" t="s">
        <v>1490</v>
      </c>
      <c r="R57" s="873" t="s">
        <v>1490</v>
      </c>
      <c r="S57" s="873"/>
      <c r="T57" s="761" t="s">
        <v>1491</v>
      </c>
      <c r="U57" s="761" t="s">
        <v>1492</v>
      </c>
      <c r="V57" s="761" t="s">
        <v>1492</v>
      </c>
      <c r="W57" s="761" t="s">
        <v>1492</v>
      </c>
      <c r="X57" s="761"/>
      <c r="Y57" s="916"/>
      <c r="Z57" s="764" t="s">
        <v>1493</v>
      </c>
      <c r="AA57" s="764" t="s">
        <v>1493</v>
      </c>
      <c r="AB57" s="764" t="s">
        <v>1493</v>
      </c>
      <c r="AC57" s="764" t="s">
        <v>1493</v>
      </c>
      <c r="AD57" s="764"/>
    </row>
    <row r="58" spans="1:30" ht="18" customHeight="1">
      <c r="A58" s="763"/>
      <c r="B58" s="818">
        <v>41</v>
      </c>
      <c r="C58" s="761">
        <v>2</v>
      </c>
      <c r="D58" s="883"/>
      <c r="E58" s="761"/>
      <c r="F58" s="761"/>
      <c r="G58" s="761"/>
      <c r="H58" s="810"/>
      <c r="I58" s="921" t="str">
        <f t="shared" si="7"/>
        <v>4.2</v>
      </c>
      <c r="J58" s="921" t="str">
        <f t="shared" si="8"/>
        <v>Изменение стоимости основных фондов за счет их переоценки</v>
      </c>
      <c r="K58" s="921">
        <f t="shared" si="9"/>
        <v>0</v>
      </c>
      <c r="L58" s="762" t="str">
        <f t="shared" si="10"/>
        <v>4.2</v>
      </c>
      <c r="M58" s="762" t="str">
        <f t="shared" si="11"/>
        <v>Изменение стоимости основных фондов за счет их переоценки</v>
      </c>
      <c r="N58" s="762" t="str">
        <f t="shared" si="12"/>
        <v/>
      </c>
      <c r="O58" s="873" t="s">
        <v>302</v>
      </c>
      <c r="P58" s="873" t="s">
        <v>1494</v>
      </c>
      <c r="Q58" s="873" t="s">
        <v>1494</v>
      </c>
      <c r="R58" s="873" t="s">
        <v>1494</v>
      </c>
      <c r="S58" s="873"/>
      <c r="T58" s="761" t="s">
        <v>1495</v>
      </c>
      <c r="U58" s="761" t="s">
        <v>1495</v>
      </c>
      <c r="V58" s="761" t="s">
        <v>1495</v>
      </c>
      <c r="W58" s="761" t="s">
        <v>1495</v>
      </c>
      <c r="X58" s="761"/>
      <c r="Y58" s="916"/>
      <c r="Z58" s="764"/>
      <c r="AA58" s="767"/>
      <c r="AB58" s="764"/>
      <c r="AC58" s="764"/>
      <c r="AD58" s="764"/>
    </row>
    <row r="59" spans="1:30" ht="36" customHeight="1">
      <c r="A59" s="763"/>
      <c r="B59" s="818">
        <v>42</v>
      </c>
      <c r="C59" s="761">
        <v>3</v>
      </c>
      <c r="D59" s="883" t="s">
        <v>1470</v>
      </c>
      <c r="E59" s="761" t="s">
        <v>1470</v>
      </c>
      <c r="F59" s="761" t="s">
        <v>1470</v>
      </c>
      <c r="G59" s="761"/>
      <c r="H59" s="810"/>
      <c r="I59" s="921" t="str">
        <f t="shared" si="7"/>
        <v>5</v>
      </c>
      <c r="J59" s="921" t="str">
        <f t="shared" si="8"/>
        <v>Валовая прибыль (убытки) от продажи товаров и услуг по регулируемым видам деятельности в сфере холодного водоснабжения</v>
      </c>
      <c r="K59" s="921">
        <f t="shared" si="9"/>
        <v>0</v>
      </c>
      <c r="L59" s="762" t="str">
        <f t="shared" si="10"/>
        <v>5</v>
      </c>
      <c r="M59" s="762" t="str">
        <f t="shared" si="11"/>
        <v>Валовая прибыль (убытки) от продажи товаров и услуг по регулируемым видам деятельности в сфере холодного водоснабжения</v>
      </c>
      <c r="N59" s="762" t="str">
        <f t="shared" si="12"/>
        <v/>
      </c>
      <c r="O59" s="873"/>
      <c r="P59" s="873" t="s">
        <v>107</v>
      </c>
      <c r="Q59" s="873" t="s">
        <v>107</v>
      </c>
      <c r="R59" s="873" t="s">
        <v>107</v>
      </c>
      <c r="S59" s="873"/>
      <c r="T59" s="761"/>
      <c r="U59" s="761" t="s">
        <v>1496</v>
      </c>
      <c r="V59" s="761" t="s">
        <v>1497</v>
      </c>
      <c r="W59" s="761" t="s">
        <v>1498</v>
      </c>
      <c r="X59" s="761"/>
      <c r="Y59" s="916"/>
      <c r="Z59" s="764"/>
      <c r="AA59" s="767"/>
      <c r="AB59" s="764"/>
      <c r="AC59" s="764"/>
      <c r="AD59" s="764"/>
    </row>
    <row r="60" spans="1:30" ht="81" customHeight="1">
      <c r="A60" s="763"/>
      <c r="B60" s="818">
        <v>43</v>
      </c>
      <c r="C60" s="761" t="s">
        <v>1499</v>
      </c>
      <c r="D60" s="883" t="s">
        <v>1499</v>
      </c>
      <c r="E60" s="761" t="s">
        <v>1499</v>
      </c>
      <c r="F60" s="761" t="s">
        <v>1499</v>
      </c>
      <c r="G60" s="761"/>
      <c r="H60" s="810"/>
      <c r="I60" s="921" t="str">
        <f t="shared" si="7"/>
        <v>6</v>
      </c>
      <c r="J60" s="921" t="str">
        <f t="shared" si="8"/>
        <v>Годовая бухгалтерская (финансовая) отчетность, включая бухгалтерский баланс и приложения к нему</v>
      </c>
      <c r="K60" s="921"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62" t="str">
        <f t="shared" si="10"/>
        <v>6</v>
      </c>
      <c r="M60" s="762" t="str">
        <f t="shared" si="11"/>
        <v>Годовая бухгалтерская (финансовая) отчетность, включая бухгалтерский баланс и приложения к нему</v>
      </c>
      <c r="N60" s="762"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73" t="s">
        <v>91</v>
      </c>
      <c r="P60" s="873" t="s">
        <v>91</v>
      </c>
      <c r="Q60" s="873" t="s">
        <v>91</v>
      </c>
      <c r="R60" s="873" t="s">
        <v>91</v>
      </c>
      <c r="S60" s="873"/>
      <c r="T60" s="761" t="s">
        <v>1500</v>
      </c>
      <c r="U60" s="761" t="s">
        <v>1500</v>
      </c>
      <c r="V60" s="761" t="s">
        <v>1500</v>
      </c>
      <c r="W60" s="761" t="s">
        <v>1500</v>
      </c>
      <c r="X60" s="761"/>
      <c r="Y60" s="916"/>
      <c r="Z60" s="764" t="s">
        <v>1501</v>
      </c>
      <c r="AA60" s="767" t="s">
        <v>1502</v>
      </c>
      <c r="AB60" s="764" t="s">
        <v>1503</v>
      </c>
      <c r="AC60" s="764" t="s">
        <v>1502</v>
      </c>
      <c r="AD60" s="764"/>
    </row>
    <row r="61" spans="1:30" ht="9" customHeight="1">
      <c r="A61" s="763"/>
      <c r="B61" s="818">
        <v>44</v>
      </c>
      <c r="C61" s="761"/>
      <c r="D61" s="883" t="s">
        <v>1504</v>
      </c>
      <c r="E61" s="761"/>
      <c r="F61" s="761"/>
      <c r="G61" s="761"/>
      <c r="H61" s="810"/>
      <c r="I61" s="921" t="str">
        <f t="shared" si="7"/>
        <v>7</v>
      </c>
      <c r="J61" s="921" t="str">
        <f t="shared" si="8"/>
        <v>Объём поднятой воды</v>
      </c>
      <c r="K61" s="921">
        <f t="shared" si="9"/>
        <v>0</v>
      </c>
      <c r="L61" s="762" t="str">
        <f t="shared" si="10"/>
        <v>7</v>
      </c>
      <c r="M61" s="762" t="str">
        <f t="shared" si="11"/>
        <v>Объём поднятой воды</v>
      </c>
      <c r="N61" s="762" t="str">
        <f t="shared" si="12"/>
        <v/>
      </c>
      <c r="O61" s="873"/>
      <c r="P61" s="873" t="s">
        <v>92</v>
      </c>
      <c r="Q61" s="873"/>
      <c r="R61" s="873"/>
      <c r="S61" s="873"/>
      <c r="T61" s="761"/>
      <c r="U61" s="761" t="s">
        <v>1505</v>
      </c>
      <c r="V61" s="761"/>
      <c r="W61" s="761"/>
      <c r="X61" s="761"/>
      <c r="Y61" s="916"/>
      <c r="Z61" s="764"/>
      <c r="AA61" s="767"/>
      <c r="AB61" s="764"/>
      <c r="AC61" s="764"/>
      <c r="AD61" s="764"/>
    </row>
    <row r="62" spans="1:30" ht="9" customHeight="1">
      <c r="A62" s="763"/>
      <c r="B62" s="818">
        <v>45</v>
      </c>
      <c r="C62" s="761"/>
      <c r="D62" s="883" t="s">
        <v>1506</v>
      </c>
      <c r="E62" s="761"/>
      <c r="F62" s="761"/>
      <c r="G62" s="761"/>
      <c r="H62" s="810"/>
      <c r="I62" s="921" t="str">
        <f t="shared" si="7"/>
        <v>8</v>
      </c>
      <c r="J62" s="921" t="str">
        <f t="shared" si="8"/>
        <v>Объём покупной воды</v>
      </c>
      <c r="K62" s="921">
        <f t="shared" si="9"/>
        <v>0</v>
      </c>
      <c r="L62" s="762" t="str">
        <f t="shared" si="10"/>
        <v>8</v>
      </c>
      <c r="M62" s="762" t="str">
        <f t="shared" si="11"/>
        <v>Объём покупной воды</v>
      </c>
      <c r="N62" s="762" t="str">
        <f t="shared" si="12"/>
        <v/>
      </c>
      <c r="O62" s="873"/>
      <c r="P62" s="873" t="s">
        <v>108</v>
      </c>
      <c r="Q62" s="873"/>
      <c r="R62" s="873"/>
      <c r="S62" s="873"/>
      <c r="T62" s="761"/>
      <c r="U62" s="761" t="s">
        <v>1507</v>
      </c>
      <c r="V62" s="761"/>
      <c r="W62" s="761"/>
      <c r="X62" s="761"/>
      <c r="Y62" s="916"/>
      <c r="Z62" s="764"/>
      <c r="AA62" s="767"/>
      <c r="AB62" s="764"/>
      <c r="AC62" s="764"/>
      <c r="AD62" s="764"/>
    </row>
    <row r="63" spans="1:30" ht="18" customHeight="1">
      <c r="A63" s="763"/>
      <c r="B63" s="818">
        <v>46</v>
      </c>
      <c r="C63" s="761"/>
      <c r="D63" s="883" t="s">
        <v>1508</v>
      </c>
      <c r="E63" s="761"/>
      <c r="F63" s="761"/>
      <c r="G63" s="761"/>
      <c r="H63" s="810"/>
      <c r="I63" s="921" t="str">
        <f t="shared" si="7"/>
        <v>9</v>
      </c>
      <c r="J63" s="921" t="str">
        <f t="shared" si="8"/>
        <v>Объём воды, пропущенной через очистные сооружения</v>
      </c>
      <c r="K63" s="921">
        <f t="shared" si="9"/>
        <v>0</v>
      </c>
      <c r="L63" s="762" t="str">
        <f t="shared" si="10"/>
        <v>9</v>
      </c>
      <c r="M63" s="762" t="str">
        <f t="shared" si="11"/>
        <v>Объём воды, пропущенной через очистные сооружения</v>
      </c>
      <c r="N63" s="762" t="str">
        <f t="shared" si="12"/>
        <v/>
      </c>
      <c r="O63" s="873"/>
      <c r="P63" s="873" t="s">
        <v>144</v>
      </c>
      <c r="Q63" s="873"/>
      <c r="R63" s="873"/>
      <c r="S63" s="873"/>
      <c r="T63" s="761"/>
      <c r="U63" s="761" t="s">
        <v>1509</v>
      </c>
      <c r="V63" s="761"/>
      <c r="W63" s="761"/>
      <c r="X63" s="761"/>
      <c r="Y63" s="916"/>
      <c r="Z63" s="764"/>
      <c r="AA63" s="767"/>
      <c r="AB63" s="764"/>
      <c r="AC63" s="764"/>
      <c r="AD63" s="764"/>
    </row>
    <row r="64" spans="1:30" ht="18" customHeight="1">
      <c r="A64" s="763"/>
      <c r="B64" s="818">
        <v>47</v>
      </c>
      <c r="C64" s="761"/>
      <c r="D64" s="883" t="s">
        <v>1510</v>
      </c>
      <c r="E64" s="761"/>
      <c r="F64" s="761"/>
      <c r="G64" s="761"/>
      <c r="H64" s="810"/>
      <c r="I64" s="921" t="str">
        <f t="shared" si="7"/>
        <v>10</v>
      </c>
      <c r="J64" s="921" t="str">
        <f t="shared" si="8"/>
        <v>Объём отпущенной потребителям воды, в том числе:</v>
      </c>
      <c r="K64" s="921" t="str">
        <f t="shared" si="9"/>
        <v>Указывается общий объем отпущенной потребителям воды.</v>
      </c>
      <c r="L64" s="762" t="str">
        <f t="shared" si="10"/>
        <v>10</v>
      </c>
      <c r="M64" s="762" t="str">
        <f t="shared" si="11"/>
        <v>Объём отпущенной потребителям воды, в том числе:</v>
      </c>
      <c r="N64" s="762" t="str">
        <f t="shared" si="12"/>
        <v>Указывается общий объем отпущенной потребителям воды.</v>
      </c>
      <c r="O64" s="873"/>
      <c r="P64" s="873" t="s">
        <v>145</v>
      </c>
      <c r="Q64" s="873"/>
      <c r="R64" s="873"/>
      <c r="S64" s="873"/>
      <c r="T64" s="761"/>
      <c r="U64" s="761" t="s">
        <v>1511</v>
      </c>
      <c r="V64" s="761"/>
      <c r="W64" s="761"/>
      <c r="X64" s="761"/>
      <c r="Y64" s="916"/>
      <c r="Z64" s="764"/>
      <c r="AA64" s="767" t="s">
        <v>1512</v>
      </c>
      <c r="AB64" s="764"/>
      <c r="AC64" s="764"/>
      <c r="AD64" s="764"/>
    </row>
    <row r="65" spans="1:30" ht="18" customHeight="1">
      <c r="A65" s="763"/>
      <c r="B65" s="818">
        <v>48</v>
      </c>
      <c r="C65" s="761"/>
      <c r="D65" s="883"/>
      <c r="E65" s="761"/>
      <c r="F65" s="761"/>
      <c r="G65" s="761"/>
      <c r="H65" s="810"/>
      <c r="I65" s="921" t="str">
        <f t="shared" si="7"/>
        <v>10.1</v>
      </c>
      <c r="J65" s="921" t="str">
        <f t="shared" si="8"/>
        <v>Объём отпущенной потребителям воды, определенный по приборам учета</v>
      </c>
      <c r="K65" s="921">
        <f t="shared" si="9"/>
        <v>0</v>
      </c>
      <c r="L65" s="762" t="str">
        <f t="shared" si="10"/>
        <v>10.1</v>
      </c>
      <c r="M65" s="762" t="str">
        <f t="shared" si="11"/>
        <v>Объём отпущенной потребителям воды, определенный по приборам учета</v>
      </c>
      <c r="N65" s="762" t="str">
        <f t="shared" si="12"/>
        <v/>
      </c>
      <c r="O65" s="873"/>
      <c r="P65" s="873" t="s">
        <v>1409</v>
      </c>
      <c r="Q65" s="873"/>
      <c r="R65" s="873"/>
      <c r="S65" s="873"/>
      <c r="T65" s="761"/>
      <c r="U65" s="761" t="s">
        <v>1513</v>
      </c>
      <c r="V65" s="761"/>
      <c r="W65" s="761"/>
      <c r="X65" s="761"/>
      <c r="Y65" s="916"/>
      <c r="Z65" s="764"/>
      <c r="AA65" s="767"/>
      <c r="AB65" s="764"/>
      <c r="AC65" s="764"/>
      <c r="AD65" s="764"/>
    </row>
    <row r="66" spans="1:30" ht="18" customHeight="1">
      <c r="A66" s="763"/>
      <c r="B66" s="818">
        <v>49</v>
      </c>
      <c r="C66" s="761"/>
      <c r="D66" s="883"/>
      <c r="E66" s="761"/>
      <c r="F66" s="761"/>
      <c r="G66" s="761"/>
      <c r="H66" s="810"/>
      <c r="I66" s="921" t="str">
        <f t="shared" si="7"/>
        <v>10.2</v>
      </c>
      <c r="J66" s="921" t="str">
        <f t="shared" si="8"/>
        <v>Объём отпущенной потребителям воды, определенный расчетным способом</v>
      </c>
      <c r="K66" s="921">
        <f t="shared" si="9"/>
        <v>0</v>
      </c>
      <c r="L66" s="762" t="str">
        <f t="shared" si="10"/>
        <v>10.2</v>
      </c>
      <c r="M66" s="762" t="str">
        <f t="shared" si="11"/>
        <v>Объём отпущенной потребителям воды, определенный расчетным способом</v>
      </c>
      <c r="N66" s="762" t="str">
        <f t="shared" si="12"/>
        <v/>
      </c>
      <c r="O66" s="873"/>
      <c r="P66" s="873" t="s">
        <v>1413</v>
      </c>
      <c r="Q66" s="873"/>
      <c r="R66" s="873"/>
      <c r="S66" s="873"/>
      <c r="T66" s="761"/>
      <c r="U66" s="761" t="s">
        <v>1514</v>
      </c>
      <c r="V66" s="761"/>
      <c r="W66" s="761"/>
      <c r="X66" s="761"/>
      <c r="Y66" s="916"/>
      <c r="Z66" s="764"/>
      <c r="AA66" s="767"/>
      <c r="AB66" s="764"/>
      <c r="AC66" s="764"/>
      <c r="AD66" s="764"/>
    </row>
    <row r="67" spans="1:30" ht="27" customHeight="1">
      <c r="A67" s="763"/>
      <c r="B67" s="818">
        <v>50</v>
      </c>
      <c r="C67" s="761"/>
      <c r="D67" s="883"/>
      <c r="E67" s="761"/>
      <c r="F67" s="761"/>
      <c r="G67" s="761"/>
      <c r="H67" s="810"/>
      <c r="I67" s="921" t="str">
        <f t="shared" si="7"/>
        <v>10.2.1</v>
      </c>
      <c r="J67" s="921" t="str">
        <f t="shared" si="8"/>
        <v>Объём отпущенной потребителям воды, определенный по нормативам потребления коммунальных услуг</v>
      </c>
      <c r="K67" s="921">
        <f t="shared" si="9"/>
        <v>0</v>
      </c>
      <c r="L67" s="762" t="str">
        <f t="shared" si="10"/>
        <v>10.2.1</v>
      </c>
      <c r="M67" s="762" t="str">
        <f t="shared" si="11"/>
        <v>Объём отпущенной потребителям воды, определенный по нормативам потребления коммунальных услуг</v>
      </c>
      <c r="N67" s="762" t="str">
        <f t="shared" si="12"/>
        <v/>
      </c>
      <c r="O67" s="873"/>
      <c r="P67" s="873" t="s">
        <v>1515</v>
      </c>
      <c r="Q67" s="873"/>
      <c r="R67" s="873"/>
      <c r="S67" s="873"/>
      <c r="T67" s="761"/>
      <c r="U67" s="761" t="s">
        <v>1516</v>
      </c>
      <c r="V67" s="761"/>
      <c r="W67" s="761"/>
      <c r="X67" s="761"/>
      <c r="Y67" s="916"/>
      <c r="Z67" s="764"/>
      <c r="AA67" s="767"/>
      <c r="AB67" s="764"/>
      <c r="AC67" s="764"/>
      <c r="AD67" s="764"/>
    </row>
    <row r="68" spans="1:30" ht="27" customHeight="1">
      <c r="A68" s="763"/>
      <c r="B68" s="818">
        <v>51</v>
      </c>
      <c r="C68" s="761"/>
      <c r="D68" s="883"/>
      <c r="E68" s="761"/>
      <c r="F68" s="761"/>
      <c r="G68" s="761"/>
      <c r="H68" s="810"/>
      <c r="I68" s="921" t="str">
        <f t="shared" si="7"/>
        <v>10.2.2</v>
      </c>
      <c r="J68" s="921" t="str">
        <f t="shared" si="8"/>
        <v xml:space="preserve">Объём отпущенной потребителям воды, определенный по нормативам потребления коммунальных ресурсов </v>
      </c>
      <c r="K68" s="921">
        <f t="shared" si="9"/>
        <v>0</v>
      </c>
      <c r="L68" s="762" t="str">
        <f t="shared" si="10"/>
        <v>10.2.2</v>
      </c>
      <c r="M68" s="762" t="str">
        <f t="shared" si="11"/>
        <v xml:space="preserve">Объём отпущенной потребителям воды, определенный по нормативам потребления коммунальных ресурсов </v>
      </c>
      <c r="N68" s="762" t="str">
        <f t="shared" si="12"/>
        <v/>
      </c>
      <c r="O68" s="873"/>
      <c r="P68" s="873" t="s">
        <v>1517</v>
      </c>
      <c r="Q68" s="873"/>
      <c r="R68" s="873"/>
      <c r="S68" s="873"/>
      <c r="T68" s="761"/>
      <c r="U68" s="761" t="s">
        <v>1518</v>
      </c>
      <c r="V68" s="761"/>
      <c r="W68" s="761"/>
      <c r="X68" s="761"/>
      <c r="Y68" s="916"/>
      <c r="Z68" s="764"/>
      <c r="AA68" s="767"/>
      <c r="AB68" s="764"/>
      <c r="AC68" s="764"/>
      <c r="AD68" s="764"/>
    </row>
    <row r="69" spans="1:30" ht="9" customHeight="1">
      <c r="A69" s="763"/>
      <c r="B69" s="818">
        <v>52</v>
      </c>
      <c r="C69" s="761"/>
      <c r="D69" s="883" t="s">
        <v>1519</v>
      </c>
      <c r="E69" s="761"/>
      <c r="F69" s="761"/>
      <c r="G69" s="761"/>
      <c r="H69" s="810"/>
      <c r="I69" s="921" t="str">
        <f t="shared" si="7"/>
        <v>11</v>
      </c>
      <c r="J69" s="921" t="str">
        <f t="shared" si="8"/>
        <v>Потери воды в сетях</v>
      </c>
      <c r="K69" s="921">
        <f t="shared" si="9"/>
        <v>0</v>
      </c>
      <c r="L69" s="762" t="str">
        <f t="shared" si="10"/>
        <v>11</v>
      </c>
      <c r="M69" s="762" t="str">
        <f t="shared" si="11"/>
        <v>Потери воды в сетях</v>
      </c>
      <c r="N69" s="762" t="str">
        <f t="shared" si="12"/>
        <v/>
      </c>
      <c r="O69" s="873"/>
      <c r="P69" s="873" t="s">
        <v>146</v>
      </c>
      <c r="Q69" s="873"/>
      <c r="R69" s="873"/>
      <c r="S69" s="873"/>
      <c r="T69" s="761"/>
      <c r="U69" s="761" t="s">
        <v>1520</v>
      </c>
      <c r="V69" s="761"/>
      <c r="W69" s="761"/>
      <c r="X69" s="761"/>
      <c r="Y69" s="916"/>
      <c r="Z69" s="764"/>
      <c r="AA69" s="767"/>
      <c r="AB69" s="764"/>
      <c r="AC69" s="764"/>
      <c r="AD69" s="764"/>
    </row>
    <row r="70" spans="1:30" ht="27" customHeight="1">
      <c r="A70" s="763"/>
      <c r="B70" s="818">
        <v>53</v>
      </c>
      <c r="C70" s="761"/>
      <c r="D70" s="883"/>
      <c r="E70" s="761" t="s">
        <v>1504</v>
      </c>
      <c r="F70" s="761"/>
      <c r="G70" s="761"/>
      <c r="H70" s="810"/>
      <c r="I70" s="921">
        <f t="shared" si="7"/>
        <v>0</v>
      </c>
      <c r="J70" s="921">
        <f t="shared" si="8"/>
        <v>0</v>
      </c>
      <c r="K70" s="921">
        <f t="shared" si="9"/>
        <v>0</v>
      </c>
      <c r="L70" s="762" t="str">
        <f t="shared" si="10"/>
        <v/>
      </c>
      <c r="M70" s="762" t="str">
        <f t="shared" si="11"/>
        <v/>
      </c>
      <c r="N70" s="762" t="str">
        <f t="shared" si="12"/>
        <v/>
      </c>
      <c r="O70" s="873"/>
      <c r="P70" s="873"/>
      <c r="Q70" s="873" t="s">
        <v>92</v>
      </c>
      <c r="R70" s="873"/>
      <c r="S70" s="873"/>
      <c r="T70" s="761"/>
      <c r="U70" s="761"/>
      <c r="V70" s="761" t="s">
        <v>1521</v>
      </c>
      <c r="W70" s="761"/>
      <c r="X70" s="761"/>
      <c r="Y70" s="916"/>
      <c r="Z70" s="764"/>
      <c r="AA70" s="767"/>
      <c r="AB70" s="764"/>
      <c r="AC70" s="764"/>
      <c r="AD70" s="764"/>
    </row>
    <row r="71" spans="1:30" ht="36" customHeight="1">
      <c r="A71" s="763"/>
      <c r="B71" s="818">
        <v>54</v>
      </c>
      <c r="C71" s="761"/>
      <c r="D71" s="883"/>
      <c r="E71" s="761" t="s">
        <v>1506</v>
      </c>
      <c r="F71" s="761"/>
      <c r="G71" s="761"/>
      <c r="H71" s="810"/>
      <c r="I71" s="921">
        <f t="shared" si="7"/>
        <v>0</v>
      </c>
      <c r="J71" s="921">
        <f t="shared" si="8"/>
        <v>0</v>
      </c>
      <c r="K71" s="921">
        <f t="shared" si="9"/>
        <v>0</v>
      </c>
      <c r="L71" s="762" t="str">
        <f t="shared" si="10"/>
        <v/>
      </c>
      <c r="M71" s="762" t="str">
        <f t="shared" si="11"/>
        <v/>
      </c>
      <c r="N71" s="762" t="str">
        <f t="shared" si="12"/>
        <v/>
      </c>
      <c r="O71" s="873"/>
      <c r="P71" s="873"/>
      <c r="Q71" s="873" t="s">
        <v>108</v>
      </c>
      <c r="R71" s="873"/>
      <c r="S71" s="873"/>
      <c r="T71" s="761"/>
      <c r="U71" s="761"/>
      <c r="V71" s="761" t="s">
        <v>1522</v>
      </c>
      <c r="W71" s="761"/>
      <c r="X71" s="761"/>
      <c r="Y71" s="916"/>
      <c r="Z71" s="764"/>
      <c r="AA71" s="767"/>
      <c r="AB71" s="764"/>
      <c r="AC71" s="764"/>
      <c r="AD71" s="764"/>
    </row>
    <row r="72" spans="1:30" ht="27" customHeight="1">
      <c r="A72" s="763"/>
      <c r="B72" s="818">
        <v>55</v>
      </c>
      <c r="C72" s="761"/>
      <c r="D72" s="883"/>
      <c r="E72" s="761" t="s">
        <v>1508</v>
      </c>
      <c r="F72" s="761"/>
      <c r="G72" s="761"/>
      <c r="H72" s="810"/>
      <c r="I72" s="921">
        <f t="shared" si="7"/>
        <v>0</v>
      </c>
      <c r="J72" s="921">
        <f t="shared" si="8"/>
        <v>0</v>
      </c>
      <c r="K72" s="921">
        <f t="shared" si="9"/>
        <v>0</v>
      </c>
      <c r="L72" s="762" t="str">
        <f t="shared" si="10"/>
        <v/>
      </c>
      <c r="M72" s="762" t="str">
        <f t="shared" si="11"/>
        <v/>
      </c>
      <c r="N72" s="762" t="str">
        <f t="shared" si="12"/>
        <v/>
      </c>
      <c r="O72" s="873"/>
      <c r="P72" s="873"/>
      <c r="Q72" s="873" t="s">
        <v>144</v>
      </c>
      <c r="R72" s="873"/>
      <c r="S72" s="873"/>
      <c r="T72" s="761"/>
      <c r="U72" s="761"/>
      <c r="V72" s="761" t="s">
        <v>1523</v>
      </c>
      <c r="W72" s="761"/>
      <c r="X72" s="761"/>
      <c r="Y72" s="916"/>
      <c r="Z72" s="764"/>
      <c r="AA72" s="767"/>
      <c r="AB72" s="764"/>
      <c r="AC72" s="764"/>
      <c r="AD72" s="764"/>
    </row>
    <row r="73" spans="1:30" ht="36" customHeight="1">
      <c r="A73" s="763"/>
      <c r="B73" s="818">
        <v>56</v>
      </c>
      <c r="C73" s="761"/>
      <c r="D73" s="883"/>
      <c r="E73" s="761" t="s">
        <v>1510</v>
      </c>
      <c r="F73" s="761"/>
      <c r="G73" s="761"/>
      <c r="H73" s="810"/>
      <c r="I73" s="921">
        <f t="shared" si="7"/>
        <v>0</v>
      </c>
      <c r="J73" s="921">
        <f t="shared" si="8"/>
        <v>0</v>
      </c>
      <c r="K73" s="921">
        <f t="shared" si="9"/>
        <v>0</v>
      </c>
      <c r="L73" s="762" t="str">
        <f t="shared" si="10"/>
        <v/>
      </c>
      <c r="M73" s="762" t="str">
        <f t="shared" si="11"/>
        <v/>
      </c>
      <c r="N73" s="762" t="str">
        <f t="shared" si="12"/>
        <v/>
      </c>
      <c r="O73" s="873"/>
      <c r="P73" s="873"/>
      <c r="Q73" s="873" t="s">
        <v>145</v>
      </c>
      <c r="R73" s="873"/>
      <c r="S73" s="873"/>
      <c r="T73" s="761"/>
      <c r="U73" s="761"/>
      <c r="V73" s="761" t="s">
        <v>1524</v>
      </c>
      <c r="W73" s="761"/>
      <c r="X73" s="761"/>
      <c r="Y73" s="916"/>
      <c r="Z73" s="764"/>
      <c r="AA73" s="767"/>
      <c r="AB73" s="764"/>
      <c r="AC73" s="764"/>
      <c r="AD73" s="764"/>
    </row>
    <row r="74" spans="1:30" ht="18" customHeight="1">
      <c r="A74" s="763"/>
      <c r="B74" s="818">
        <v>57</v>
      </c>
      <c r="C74" s="761"/>
      <c r="D74" s="883"/>
      <c r="E74" s="761" t="s">
        <v>1519</v>
      </c>
      <c r="F74" s="761"/>
      <c r="G74" s="761"/>
      <c r="H74" s="810"/>
      <c r="I74" s="921">
        <f t="shared" si="7"/>
        <v>0</v>
      </c>
      <c r="J74" s="921">
        <f t="shared" si="8"/>
        <v>0</v>
      </c>
      <c r="K74" s="921">
        <f t="shared" si="9"/>
        <v>0</v>
      </c>
      <c r="L74" s="762" t="str">
        <f t="shared" si="10"/>
        <v/>
      </c>
      <c r="M74" s="762" t="str">
        <f t="shared" si="11"/>
        <v/>
      </c>
      <c r="N74" s="762" t="str">
        <f t="shared" si="12"/>
        <v/>
      </c>
      <c r="O74" s="873"/>
      <c r="P74" s="873"/>
      <c r="Q74" s="873" t="s">
        <v>146</v>
      </c>
      <c r="R74" s="873"/>
      <c r="S74" s="873"/>
      <c r="T74" s="761"/>
      <c r="U74" s="761"/>
      <c r="V74" s="761" t="s">
        <v>1525</v>
      </c>
      <c r="W74" s="761"/>
      <c r="X74" s="761"/>
      <c r="Y74" s="916"/>
      <c r="Z74" s="764"/>
      <c r="AA74" s="767"/>
      <c r="AB74" s="764"/>
      <c r="AC74" s="764"/>
      <c r="AD74" s="764"/>
    </row>
    <row r="75" spans="1:30" ht="18" customHeight="1">
      <c r="A75" s="763"/>
      <c r="B75" s="818">
        <v>58</v>
      </c>
      <c r="C75" s="761"/>
      <c r="D75" s="883"/>
      <c r="E75" s="761"/>
      <c r="F75" s="761" t="s">
        <v>1504</v>
      </c>
      <c r="G75" s="761"/>
      <c r="H75" s="810"/>
      <c r="I75" s="921">
        <f t="shared" si="7"/>
        <v>0</v>
      </c>
      <c r="J75" s="921">
        <f t="shared" si="8"/>
        <v>0</v>
      </c>
      <c r="K75" s="921">
        <f t="shared" si="9"/>
        <v>0</v>
      </c>
      <c r="L75" s="762" t="str">
        <f t="shared" si="10"/>
        <v/>
      </c>
      <c r="M75" s="762" t="str">
        <f t="shared" si="11"/>
        <v/>
      </c>
      <c r="N75" s="762" t="str">
        <f t="shared" si="12"/>
        <v/>
      </c>
      <c r="O75" s="873"/>
      <c r="P75" s="873"/>
      <c r="Q75" s="873"/>
      <c r="R75" s="873" t="s">
        <v>92</v>
      </c>
      <c r="S75" s="873"/>
      <c r="T75" s="761"/>
      <c r="U75" s="761"/>
      <c r="V75" s="761"/>
      <c r="W75" s="761" t="s">
        <v>1526</v>
      </c>
      <c r="X75" s="761"/>
      <c r="Y75" s="916"/>
      <c r="Z75" s="764"/>
      <c r="AA75" s="767"/>
      <c r="AB75" s="764"/>
      <c r="AC75" s="764"/>
      <c r="AD75" s="764"/>
    </row>
    <row r="76" spans="1:30" ht="36" customHeight="1">
      <c r="A76" s="763"/>
      <c r="B76" s="818">
        <v>59</v>
      </c>
      <c r="C76" s="761"/>
      <c r="D76" s="883"/>
      <c r="E76" s="761"/>
      <c r="F76" s="761" t="s">
        <v>1506</v>
      </c>
      <c r="G76" s="761"/>
      <c r="H76" s="810"/>
      <c r="I76" s="921">
        <f t="shared" si="7"/>
        <v>0</v>
      </c>
      <c r="J76" s="921">
        <f t="shared" si="8"/>
        <v>0</v>
      </c>
      <c r="K76" s="921">
        <f t="shared" si="9"/>
        <v>0</v>
      </c>
      <c r="L76" s="762" t="str">
        <f t="shared" si="10"/>
        <v/>
      </c>
      <c r="M76" s="762" t="str">
        <f t="shared" si="11"/>
        <v/>
      </c>
      <c r="N76" s="762" t="str">
        <f t="shared" si="12"/>
        <v/>
      </c>
      <c r="O76" s="873"/>
      <c r="P76" s="873"/>
      <c r="Q76" s="873"/>
      <c r="R76" s="873" t="s">
        <v>108</v>
      </c>
      <c r="S76" s="873"/>
      <c r="T76" s="761"/>
      <c r="U76" s="761"/>
      <c r="V76" s="761"/>
      <c r="W76" s="761" t="s">
        <v>1527</v>
      </c>
      <c r="X76" s="761"/>
      <c r="Y76" s="916"/>
      <c r="Z76" s="764"/>
      <c r="AA76" s="767"/>
      <c r="AB76" s="764"/>
      <c r="AC76" s="764"/>
      <c r="AD76" s="764"/>
    </row>
    <row r="77" spans="1:30" ht="18" customHeight="1">
      <c r="A77" s="763"/>
      <c r="B77" s="818">
        <v>60</v>
      </c>
      <c r="C77" s="761"/>
      <c r="D77" s="883"/>
      <c r="E77" s="761"/>
      <c r="F77" s="761" t="s">
        <v>1508</v>
      </c>
      <c r="G77" s="761"/>
      <c r="H77" s="810"/>
      <c r="I77" s="921">
        <f t="shared" si="7"/>
        <v>0</v>
      </c>
      <c r="J77" s="921">
        <f t="shared" si="8"/>
        <v>0</v>
      </c>
      <c r="K77" s="921">
        <f t="shared" si="9"/>
        <v>0</v>
      </c>
      <c r="L77" s="762" t="str">
        <f t="shared" si="10"/>
        <v/>
      </c>
      <c r="M77" s="762" t="str">
        <f t="shared" si="11"/>
        <v/>
      </c>
      <c r="N77" s="762" t="str">
        <f t="shared" si="12"/>
        <v/>
      </c>
      <c r="O77" s="873"/>
      <c r="P77" s="873"/>
      <c r="Q77" s="873"/>
      <c r="R77" s="873" t="s">
        <v>144</v>
      </c>
      <c r="S77" s="873"/>
      <c r="T77" s="761"/>
      <c r="U77" s="761"/>
      <c r="V77" s="761"/>
      <c r="W77" s="761" t="s">
        <v>1528</v>
      </c>
      <c r="X77" s="761"/>
      <c r="Y77" s="916"/>
      <c r="Z77" s="764"/>
      <c r="AA77" s="767"/>
      <c r="AB77" s="764"/>
      <c r="AC77" s="764"/>
      <c r="AD77" s="764"/>
    </row>
    <row r="78" spans="1:30" ht="72" customHeight="1">
      <c r="A78" s="763"/>
      <c r="B78" s="818">
        <v>61</v>
      </c>
      <c r="C78" s="761" t="s">
        <v>1504</v>
      </c>
      <c r="D78" s="883"/>
      <c r="E78" s="761"/>
      <c r="F78" s="761"/>
      <c r="G78" s="761"/>
      <c r="H78" s="810"/>
      <c r="I78" s="921">
        <f t="shared" si="7"/>
        <v>0</v>
      </c>
      <c r="J78" s="921">
        <f t="shared" si="8"/>
        <v>0</v>
      </c>
      <c r="K78" s="921">
        <f t="shared" si="9"/>
        <v>0</v>
      </c>
      <c r="L78" s="762" t="str">
        <f t="shared" si="10"/>
        <v/>
      </c>
      <c r="M78" s="762" t="str">
        <f t="shared" si="11"/>
        <v/>
      </c>
      <c r="N78" s="762" t="str">
        <f t="shared" si="12"/>
        <v/>
      </c>
      <c r="O78" s="873" t="s">
        <v>92</v>
      </c>
      <c r="P78" s="873"/>
      <c r="Q78" s="873"/>
      <c r="R78" s="873"/>
      <c r="S78" s="873"/>
      <c r="T78" s="761" t="s">
        <v>1529</v>
      </c>
      <c r="U78" s="761"/>
      <c r="V78" s="761"/>
      <c r="W78" s="761"/>
      <c r="X78" s="761"/>
      <c r="Y78" s="916"/>
      <c r="Z78" s="764" t="s">
        <v>1530</v>
      </c>
      <c r="AA78" s="767"/>
      <c r="AB78" s="764"/>
      <c r="AC78" s="764"/>
      <c r="AD78" s="764"/>
    </row>
    <row r="79" spans="1:30" ht="36" customHeight="1">
      <c r="A79" s="763"/>
      <c r="B79" s="818">
        <v>62</v>
      </c>
      <c r="C79" s="761" t="s">
        <v>1506</v>
      </c>
      <c r="D79" s="883"/>
      <c r="E79" s="761"/>
      <c r="F79" s="761"/>
      <c r="G79" s="761"/>
      <c r="H79" s="810"/>
      <c r="I79" s="921">
        <f t="shared" si="7"/>
        <v>0</v>
      </c>
      <c r="J79" s="921">
        <f t="shared" si="8"/>
        <v>0</v>
      </c>
      <c r="K79" s="921">
        <f t="shared" si="9"/>
        <v>0</v>
      </c>
      <c r="L79" s="762" t="str">
        <f t="shared" si="10"/>
        <v/>
      </c>
      <c r="M79" s="762" t="str">
        <f t="shared" si="11"/>
        <v/>
      </c>
      <c r="N79" s="762" t="str">
        <f t="shared" si="12"/>
        <v/>
      </c>
      <c r="O79" s="873" t="s">
        <v>108</v>
      </c>
      <c r="P79" s="873"/>
      <c r="Q79" s="873"/>
      <c r="R79" s="873"/>
      <c r="S79" s="873"/>
      <c r="T79" s="761" t="s">
        <v>1531</v>
      </c>
      <c r="U79" s="761"/>
      <c r="V79" s="761"/>
      <c r="W79" s="761"/>
      <c r="X79" s="761"/>
      <c r="Y79" s="916"/>
      <c r="Z79" s="764" t="s">
        <v>1532</v>
      </c>
      <c r="AA79" s="767"/>
      <c r="AB79" s="764"/>
      <c r="AC79" s="764"/>
      <c r="AD79" s="764"/>
    </row>
    <row r="80" spans="1:30" ht="45" customHeight="1">
      <c r="A80" s="763"/>
      <c r="B80" s="818">
        <v>63</v>
      </c>
      <c r="C80" s="761" t="s">
        <v>1508</v>
      </c>
      <c r="D80" s="883"/>
      <c r="E80" s="761"/>
      <c r="F80" s="761"/>
      <c r="G80" s="761"/>
      <c r="H80" s="810"/>
      <c r="I80" s="921">
        <f t="shared" si="7"/>
        <v>0</v>
      </c>
      <c r="J80" s="921">
        <f t="shared" si="8"/>
        <v>0</v>
      </c>
      <c r="K80" s="921">
        <f t="shared" si="9"/>
        <v>0</v>
      </c>
      <c r="L80" s="762" t="str">
        <f t="shared" si="10"/>
        <v/>
      </c>
      <c r="M80" s="762" t="str">
        <f t="shared" si="11"/>
        <v/>
      </c>
      <c r="N80" s="762" t="str">
        <f t="shared" si="12"/>
        <v/>
      </c>
      <c r="O80" s="873" t="s">
        <v>144</v>
      </c>
      <c r="P80" s="873"/>
      <c r="Q80" s="873"/>
      <c r="R80" s="873"/>
      <c r="S80" s="873"/>
      <c r="T80" s="761" t="s">
        <v>1533</v>
      </c>
      <c r="U80" s="761"/>
      <c r="V80" s="761"/>
      <c r="W80" s="761"/>
      <c r="X80" s="761"/>
      <c r="Y80" s="916"/>
      <c r="Z80" s="764" t="s">
        <v>1534</v>
      </c>
      <c r="AA80" s="767"/>
      <c r="AB80" s="764"/>
      <c r="AC80" s="764"/>
      <c r="AD80" s="764"/>
    </row>
    <row r="81" spans="1:30" ht="36" customHeight="1">
      <c r="A81" s="763"/>
      <c r="B81" s="818">
        <v>64</v>
      </c>
      <c r="C81" s="761" t="s">
        <v>1510</v>
      </c>
      <c r="D81" s="883"/>
      <c r="E81" s="761"/>
      <c r="F81" s="761"/>
      <c r="G81" s="761"/>
      <c r="H81" s="810"/>
      <c r="I81" s="921">
        <f t="shared" si="7"/>
        <v>0</v>
      </c>
      <c r="J81" s="921">
        <f t="shared" si="8"/>
        <v>0</v>
      </c>
      <c r="K81" s="921">
        <f t="shared" si="9"/>
        <v>0</v>
      </c>
      <c r="L81" s="762" t="str">
        <f t="shared" si="10"/>
        <v/>
      </c>
      <c r="M81" s="762" t="str">
        <f t="shared" si="11"/>
        <v/>
      </c>
      <c r="N81" s="762" t="str">
        <f t="shared" si="12"/>
        <v/>
      </c>
      <c r="O81" s="873" t="s">
        <v>1397</v>
      </c>
      <c r="P81" s="873"/>
      <c r="Q81" s="873"/>
      <c r="R81" s="873"/>
      <c r="S81" s="873"/>
      <c r="T81" s="761" t="s">
        <v>1535</v>
      </c>
      <c r="U81" s="761"/>
      <c r="V81" s="761"/>
      <c r="W81" s="761"/>
      <c r="X81" s="761"/>
      <c r="Y81" s="916"/>
      <c r="Z81" s="764" t="s">
        <v>1536</v>
      </c>
      <c r="AA81" s="767"/>
      <c r="AB81" s="764"/>
      <c r="AC81" s="764"/>
      <c r="AD81" s="764"/>
    </row>
    <row r="82" spans="1:30" ht="90" customHeight="1">
      <c r="A82" s="763"/>
      <c r="B82" s="818">
        <v>65</v>
      </c>
      <c r="C82" s="761" t="s">
        <v>1519</v>
      </c>
      <c r="D82" s="883"/>
      <c r="E82" s="761"/>
      <c r="F82" s="761"/>
      <c r="G82" s="761"/>
      <c r="H82" s="810"/>
      <c r="I82" s="921">
        <f t="shared" ref="I82:I101" si="13">INDEX(TEMPLATE_NUMBER_POINT_FHD,B82,MATCH(TEMPLATE_SPHERE,TEMPLATE_SPHERE_LIST_FOR_NOTE,0))</f>
        <v>0</v>
      </c>
      <c r="J82" s="921">
        <f t="shared" ref="J82:J101" si="14">INDEX(TEMPLATE_DATA_POINT_FHD,B82,MATCH(TEMPLATE_SPHERE,TEMPLATE_SPHERE_LIST_FOR_NOTE,0))</f>
        <v>0</v>
      </c>
      <c r="K82" s="921">
        <f t="shared" ref="K82:K101" si="15">INDEX(TEMPLATE_NOTE_POINT_FHD,B82,MATCH(TEMPLATE_SPHERE,TEMPLATE_SPHERE_LIST_FOR_NOTE,0))</f>
        <v>0</v>
      </c>
      <c r="L82" s="762" t="str">
        <f t="shared" ref="L82:L101" si="16">IF(I82=0,"",I82)</f>
        <v/>
      </c>
      <c r="M82" s="762" t="str">
        <f t="shared" ref="M82:M101" si="17">IF(J82=0,"",J82)</f>
        <v/>
      </c>
      <c r="N82" s="762" t="str">
        <f t="shared" ref="N82:N101" si="18">IF(K82=0,"",K82)</f>
        <v/>
      </c>
      <c r="O82" s="873" t="s">
        <v>145</v>
      </c>
      <c r="P82" s="873"/>
      <c r="Q82" s="873"/>
      <c r="R82" s="873"/>
      <c r="S82" s="873"/>
      <c r="T82" s="761" t="s">
        <v>1537</v>
      </c>
      <c r="U82" s="761"/>
      <c r="V82" s="761"/>
      <c r="W82" s="761"/>
      <c r="X82" s="761"/>
      <c r="Y82" s="916"/>
      <c r="Z82" s="764" t="s">
        <v>1538</v>
      </c>
      <c r="AA82" s="767"/>
      <c r="AB82" s="764"/>
      <c r="AC82" s="764"/>
      <c r="AD82" s="764"/>
    </row>
    <row r="83" spans="1:30" ht="9" customHeight="1">
      <c r="A83" s="763"/>
      <c r="B83" s="818">
        <v>66</v>
      </c>
      <c r="C83" s="761"/>
      <c r="D83" s="883"/>
      <c r="E83" s="761"/>
      <c r="F83" s="761"/>
      <c r="G83" s="761"/>
      <c r="H83" s="810"/>
      <c r="I83" s="921">
        <f t="shared" si="13"/>
        <v>0</v>
      </c>
      <c r="J83" s="921">
        <f t="shared" si="14"/>
        <v>0</v>
      </c>
      <c r="K83" s="921">
        <f t="shared" si="15"/>
        <v>0</v>
      </c>
      <c r="L83" s="762" t="str">
        <f t="shared" si="16"/>
        <v/>
      </c>
      <c r="M83" s="762" t="str">
        <f t="shared" si="17"/>
        <v/>
      </c>
      <c r="N83" s="762" t="str">
        <f t="shared" si="18"/>
        <v/>
      </c>
      <c r="O83" s="873" t="s">
        <v>1409</v>
      </c>
      <c r="P83" s="873"/>
      <c r="Q83" s="873"/>
      <c r="R83" s="873"/>
      <c r="S83" s="873"/>
      <c r="T83" s="761" t="s">
        <v>1539</v>
      </c>
      <c r="U83" s="761"/>
      <c r="V83" s="761"/>
      <c r="W83" s="761"/>
      <c r="X83" s="761"/>
      <c r="Y83" s="916"/>
      <c r="Z83" s="764"/>
      <c r="AA83" s="767"/>
      <c r="AB83" s="764"/>
      <c r="AC83" s="764"/>
      <c r="AD83" s="764"/>
    </row>
    <row r="84" spans="1:30" ht="54" customHeight="1">
      <c r="A84" s="763"/>
      <c r="B84" s="818">
        <v>67</v>
      </c>
      <c r="C84" s="761"/>
      <c r="D84" s="883"/>
      <c r="E84" s="761"/>
      <c r="F84" s="761"/>
      <c r="G84" s="761"/>
      <c r="H84" s="810"/>
      <c r="I84" s="921">
        <f t="shared" si="13"/>
        <v>0</v>
      </c>
      <c r="J84" s="921">
        <f t="shared" si="14"/>
        <v>0</v>
      </c>
      <c r="K84" s="921">
        <f t="shared" si="15"/>
        <v>0</v>
      </c>
      <c r="L84" s="762" t="str">
        <f t="shared" si="16"/>
        <v/>
      </c>
      <c r="M84" s="762" t="str">
        <f t="shared" si="17"/>
        <v/>
      </c>
      <c r="N84" s="762" t="str">
        <f t="shared" si="18"/>
        <v/>
      </c>
      <c r="O84" s="873" t="s">
        <v>1540</v>
      </c>
      <c r="P84" s="873"/>
      <c r="Q84" s="873"/>
      <c r="R84" s="873"/>
      <c r="S84" s="873"/>
      <c r="T84" s="761" t="s">
        <v>1541</v>
      </c>
      <c r="U84" s="761"/>
      <c r="V84" s="761"/>
      <c r="W84" s="761"/>
      <c r="X84" s="761"/>
      <c r="Y84" s="916"/>
      <c r="Z84" s="764"/>
      <c r="AA84" s="767"/>
      <c r="AB84" s="764"/>
      <c r="AC84" s="764"/>
      <c r="AD84" s="764"/>
    </row>
    <row r="85" spans="1:30" ht="9" customHeight="1">
      <c r="A85" s="763"/>
      <c r="B85" s="818">
        <v>68</v>
      </c>
      <c r="C85" s="761"/>
      <c r="D85" s="883"/>
      <c r="E85" s="761"/>
      <c r="F85" s="761"/>
      <c r="G85" s="761"/>
      <c r="H85" s="810"/>
      <c r="I85" s="921">
        <f t="shared" si="13"/>
        <v>0</v>
      </c>
      <c r="J85" s="921">
        <f t="shared" si="14"/>
        <v>0</v>
      </c>
      <c r="K85" s="921">
        <f t="shared" si="15"/>
        <v>0</v>
      </c>
      <c r="L85" s="762" t="str">
        <f t="shared" si="16"/>
        <v/>
      </c>
      <c r="M85" s="762" t="str">
        <f t="shared" si="17"/>
        <v/>
      </c>
      <c r="N85" s="762" t="str">
        <f t="shared" si="18"/>
        <v/>
      </c>
      <c r="O85" s="873" t="s">
        <v>1413</v>
      </c>
      <c r="P85" s="873"/>
      <c r="Q85" s="873"/>
      <c r="R85" s="873"/>
      <c r="S85" s="873"/>
      <c r="T85" s="761" t="s">
        <v>1542</v>
      </c>
      <c r="U85" s="761"/>
      <c r="V85" s="761"/>
      <c r="W85" s="761"/>
      <c r="X85" s="761"/>
      <c r="Y85" s="916"/>
      <c r="Z85" s="764"/>
      <c r="AA85" s="767"/>
      <c r="AB85" s="764"/>
      <c r="AC85" s="764"/>
      <c r="AD85" s="764"/>
    </row>
    <row r="86" spans="1:30" ht="27" customHeight="1">
      <c r="A86" s="763"/>
      <c r="B86" s="818">
        <v>69</v>
      </c>
      <c r="C86" s="761"/>
      <c r="D86" s="883"/>
      <c r="E86" s="761"/>
      <c r="F86" s="761"/>
      <c r="G86" s="761"/>
      <c r="H86" s="810"/>
      <c r="I86" s="921">
        <f t="shared" si="13"/>
        <v>0</v>
      </c>
      <c r="J86" s="921">
        <f t="shared" si="14"/>
        <v>0</v>
      </c>
      <c r="K86" s="921">
        <f t="shared" si="15"/>
        <v>0</v>
      </c>
      <c r="L86" s="762" t="str">
        <f t="shared" si="16"/>
        <v/>
      </c>
      <c r="M86" s="762" t="str">
        <f t="shared" si="17"/>
        <v/>
      </c>
      <c r="N86" s="762" t="str">
        <f t="shared" si="18"/>
        <v/>
      </c>
      <c r="O86" s="873" t="s">
        <v>1543</v>
      </c>
      <c r="P86" s="873"/>
      <c r="Q86" s="873"/>
      <c r="R86" s="873"/>
      <c r="S86" s="873"/>
      <c r="T86" s="761" t="s">
        <v>1544</v>
      </c>
      <c r="U86" s="761"/>
      <c r="V86" s="761"/>
      <c r="W86" s="761"/>
      <c r="X86" s="761"/>
      <c r="Y86" s="916"/>
      <c r="Z86" s="764"/>
      <c r="AA86" s="767"/>
      <c r="AB86" s="764"/>
      <c r="AC86" s="764"/>
      <c r="AD86" s="764"/>
    </row>
    <row r="87" spans="1:30" ht="36" customHeight="1">
      <c r="A87" s="763"/>
      <c r="B87" s="818">
        <v>70</v>
      </c>
      <c r="C87" s="761" t="s">
        <v>1545</v>
      </c>
      <c r="D87" s="883"/>
      <c r="E87" s="761"/>
      <c r="F87" s="761"/>
      <c r="G87" s="761"/>
      <c r="H87" s="810"/>
      <c r="I87" s="921">
        <f t="shared" si="13"/>
        <v>0</v>
      </c>
      <c r="J87" s="921">
        <f t="shared" si="14"/>
        <v>0</v>
      </c>
      <c r="K87" s="921">
        <f t="shared" si="15"/>
        <v>0</v>
      </c>
      <c r="L87" s="762" t="str">
        <f t="shared" si="16"/>
        <v/>
      </c>
      <c r="M87" s="762" t="str">
        <f t="shared" si="17"/>
        <v/>
      </c>
      <c r="N87" s="762" t="str">
        <f t="shared" si="18"/>
        <v/>
      </c>
      <c r="O87" s="873" t="s">
        <v>146</v>
      </c>
      <c r="P87" s="873"/>
      <c r="Q87" s="873"/>
      <c r="R87" s="873"/>
      <c r="S87" s="873"/>
      <c r="T87" s="761" t="s">
        <v>1546</v>
      </c>
      <c r="U87" s="761"/>
      <c r="V87" s="761"/>
      <c r="W87" s="761"/>
      <c r="X87" s="761"/>
      <c r="Y87" s="916"/>
      <c r="Z87" s="764"/>
      <c r="AA87" s="767"/>
      <c r="AB87" s="764"/>
      <c r="AC87" s="764"/>
      <c r="AD87" s="764"/>
    </row>
    <row r="88" spans="1:30" ht="18" customHeight="1">
      <c r="A88" s="763"/>
      <c r="B88" s="818">
        <v>71</v>
      </c>
      <c r="C88" s="761" t="s">
        <v>1547</v>
      </c>
      <c r="D88" s="883"/>
      <c r="E88" s="761"/>
      <c r="F88" s="761"/>
      <c r="G88" s="761"/>
      <c r="H88" s="810"/>
      <c r="I88" s="921">
        <f t="shared" si="13"/>
        <v>0</v>
      </c>
      <c r="J88" s="921">
        <f t="shared" si="14"/>
        <v>0</v>
      </c>
      <c r="K88" s="921">
        <f t="shared" si="15"/>
        <v>0</v>
      </c>
      <c r="L88" s="762" t="str">
        <f t="shared" si="16"/>
        <v/>
      </c>
      <c r="M88" s="762" t="str">
        <f t="shared" si="17"/>
        <v/>
      </c>
      <c r="N88" s="762" t="str">
        <f t="shared" si="18"/>
        <v/>
      </c>
      <c r="O88" s="873" t="s">
        <v>147</v>
      </c>
      <c r="P88" s="873"/>
      <c r="Q88" s="873"/>
      <c r="R88" s="873"/>
      <c r="S88" s="873"/>
      <c r="T88" s="761" t="s">
        <v>1548</v>
      </c>
      <c r="U88" s="761"/>
      <c r="V88" s="761"/>
      <c r="W88" s="761"/>
      <c r="X88" s="761"/>
      <c r="Y88" s="916"/>
      <c r="Z88" s="764"/>
      <c r="AA88" s="767"/>
      <c r="AB88" s="764"/>
      <c r="AC88" s="764"/>
      <c r="AD88" s="764"/>
    </row>
    <row r="89" spans="1:30" ht="18" customHeight="1">
      <c r="A89" s="763"/>
      <c r="B89" s="818">
        <v>72</v>
      </c>
      <c r="C89" s="761" t="s">
        <v>1549</v>
      </c>
      <c r="D89" s="883" t="s">
        <v>1545</v>
      </c>
      <c r="E89" s="761" t="s">
        <v>1545</v>
      </c>
      <c r="F89" s="761" t="s">
        <v>1510</v>
      </c>
      <c r="G89" s="761"/>
      <c r="H89" s="810"/>
      <c r="I89" s="921" t="str">
        <f t="shared" si="13"/>
        <v>12</v>
      </c>
      <c r="J89" s="921" t="str">
        <f t="shared" si="14"/>
        <v>Среднесписочная численность основного производственного персонала</v>
      </c>
      <c r="K89" s="921">
        <f t="shared" si="15"/>
        <v>0</v>
      </c>
      <c r="L89" s="762" t="str">
        <f t="shared" si="16"/>
        <v>12</v>
      </c>
      <c r="M89" s="762" t="str">
        <f t="shared" si="17"/>
        <v>Среднесписочная численность основного производственного персонала</v>
      </c>
      <c r="N89" s="762" t="str">
        <f t="shared" si="18"/>
        <v/>
      </c>
      <c r="O89" s="873" t="s">
        <v>148</v>
      </c>
      <c r="P89" s="873" t="s">
        <v>147</v>
      </c>
      <c r="Q89" s="873" t="s">
        <v>147</v>
      </c>
      <c r="R89" s="873" t="s">
        <v>145</v>
      </c>
      <c r="S89" s="873"/>
      <c r="T89" s="761" t="s">
        <v>1550</v>
      </c>
      <c r="U89" s="761" t="s">
        <v>1550</v>
      </c>
      <c r="V89" s="761" t="s">
        <v>1550</v>
      </c>
      <c r="W89" s="761" t="s">
        <v>1550</v>
      </c>
      <c r="X89" s="761"/>
      <c r="Y89" s="916"/>
      <c r="Z89" s="764"/>
      <c r="AA89" s="767"/>
      <c r="AB89" s="764"/>
      <c r="AC89" s="764"/>
      <c r="AD89" s="764"/>
    </row>
    <row r="90" spans="1:30" ht="27" customHeight="1">
      <c r="A90" s="763"/>
      <c r="B90" s="818">
        <v>73</v>
      </c>
      <c r="C90" s="761" t="s">
        <v>1551</v>
      </c>
      <c r="D90" s="883"/>
      <c r="E90" s="761"/>
      <c r="F90" s="761"/>
      <c r="G90" s="761"/>
      <c r="H90" s="810"/>
      <c r="I90" s="921">
        <f t="shared" si="13"/>
        <v>0</v>
      </c>
      <c r="J90" s="921">
        <f t="shared" si="14"/>
        <v>0</v>
      </c>
      <c r="K90" s="921">
        <f t="shared" si="15"/>
        <v>0</v>
      </c>
      <c r="L90" s="762" t="str">
        <f t="shared" si="16"/>
        <v/>
      </c>
      <c r="M90" s="762" t="str">
        <f t="shared" si="17"/>
        <v/>
      </c>
      <c r="N90" s="762" t="str">
        <f t="shared" si="18"/>
        <v/>
      </c>
      <c r="O90" s="873" t="s">
        <v>149</v>
      </c>
      <c r="P90" s="873"/>
      <c r="Q90" s="873"/>
      <c r="R90" s="873"/>
      <c r="S90" s="873"/>
      <c r="T90" s="761" t="s">
        <v>1552</v>
      </c>
      <c r="U90" s="761"/>
      <c r="V90" s="761"/>
      <c r="W90" s="761"/>
      <c r="X90" s="761"/>
      <c r="Y90" s="916"/>
      <c r="Z90" s="764"/>
      <c r="AA90" s="767"/>
      <c r="AB90" s="764"/>
      <c r="AC90" s="764"/>
      <c r="AD90" s="764"/>
    </row>
    <row r="91" spans="1:30" ht="18" customHeight="1">
      <c r="A91" s="763"/>
      <c r="B91" s="818">
        <v>74</v>
      </c>
      <c r="C91" s="761"/>
      <c r="D91" s="883" t="s">
        <v>1547</v>
      </c>
      <c r="E91" s="761" t="s">
        <v>1547</v>
      </c>
      <c r="F91" s="761"/>
      <c r="G91" s="761"/>
      <c r="H91" s="810"/>
      <c r="I91" s="921" t="str">
        <f t="shared" si="13"/>
        <v>13</v>
      </c>
      <c r="J91" s="921" t="str">
        <f t="shared" si="14"/>
        <v>Удельный расход электрической энергии на подачу воды в сеть</v>
      </c>
      <c r="K91" s="921">
        <f t="shared" si="15"/>
        <v>0</v>
      </c>
      <c r="L91" s="762" t="str">
        <f t="shared" si="16"/>
        <v>13</v>
      </c>
      <c r="M91" s="762" t="str">
        <f t="shared" si="17"/>
        <v>Удельный расход электрической энергии на подачу воды в сеть</v>
      </c>
      <c r="N91" s="762" t="str">
        <f t="shared" si="18"/>
        <v/>
      </c>
      <c r="O91" s="873"/>
      <c r="P91" s="873" t="s">
        <v>148</v>
      </c>
      <c r="Q91" s="873" t="s">
        <v>148</v>
      </c>
      <c r="R91" s="873"/>
      <c r="S91" s="873"/>
      <c r="T91" s="761"/>
      <c r="U91" s="761" t="s">
        <v>1553</v>
      </c>
      <c r="V91" s="761" t="s">
        <v>1553</v>
      </c>
      <c r="W91" s="761"/>
      <c r="X91" s="761"/>
      <c r="Y91" s="916"/>
      <c r="Z91" s="764"/>
      <c r="AA91" s="767"/>
      <c r="AB91" s="764"/>
      <c r="AC91" s="764"/>
      <c r="AD91" s="764"/>
    </row>
    <row r="92" spans="1:30" ht="27" customHeight="1">
      <c r="A92" s="763"/>
      <c r="B92" s="818">
        <v>75</v>
      </c>
      <c r="C92" s="761"/>
      <c r="D92" s="883" t="s">
        <v>1549</v>
      </c>
      <c r="E92" s="761"/>
      <c r="F92" s="761"/>
      <c r="G92" s="761"/>
      <c r="H92" s="810"/>
      <c r="I92" s="921" t="str">
        <f t="shared" si="13"/>
        <v>14</v>
      </c>
      <c r="J92" s="921" t="str">
        <f t="shared" si="14"/>
        <v>Расход воды на собственные нужды, в том числе:</v>
      </c>
      <c r="K92" s="921" t="str">
        <f t="shared" si="15"/>
        <v>Указывается доля общего расхода воды на собственные нужны от объема отпуска воды потребителям.</v>
      </c>
      <c r="L92" s="762" t="str">
        <f t="shared" si="16"/>
        <v>14</v>
      </c>
      <c r="M92" s="762" t="str">
        <f t="shared" si="17"/>
        <v>Расход воды на собственные нужды, в том числе:</v>
      </c>
      <c r="N92" s="762" t="str">
        <f t="shared" si="18"/>
        <v>Указывается доля общего расхода воды на собственные нужны от объема отпуска воды потребителям.</v>
      </c>
      <c r="O92" s="873"/>
      <c r="P92" s="873" t="s">
        <v>149</v>
      </c>
      <c r="Q92" s="873"/>
      <c r="R92" s="873"/>
      <c r="S92" s="873"/>
      <c r="T92" s="761"/>
      <c r="U92" s="761" t="s">
        <v>1554</v>
      </c>
      <c r="V92" s="761"/>
      <c r="W92" s="761"/>
      <c r="X92" s="761"/>
      <c r="Y92" s="916"/>
      <c r="Z92" s="764"/>
      <c r="AA92" s="767" t="s">
        <v>1555</v>
      </c>
      <c r="AB92" s="764"/>
      <c r="AC92" s="764"/>
      <c r="AD92" s="764"/>
    </row>
    <row r="93" spans="1:30" ht="27" customHeight="1">
      <c r="A93" s="763"/>
      <c r="B93" s="818">
        <v>76</v>
      </c>
      <c r="C93" s="761"/>
      <c r="D93" s="883"/>
      <c r="E93" s="761"/>
      <c r="F93" s="761"/>
      <c r="G93" s="761"/>
      <c r="H93" s="810"/>
      <c r="I93" s="921" t="str">
        <f t="shared" si="13"/>
        <v>14.1</v>
      </c>
      <c r="J93" s="921" t="str">
        <f t="shared" si="14"/>
        <v>Расход воды на хозяйственно-бытовые нужды</v>
      </c>
      <c r="K93" s="921" t="str">
        <f t="shared" si="15"/>
        <v>Указывается доля расхода воды на хозяйственно-бытовые нужны от объема отпуска воды потребителям.</v>
      </c>
      <c r="L93" s="762" t="str">
        <f t="shared" si="16"/>
        <v>14.1</v>
      </c>
      <c r="M93" s="762" t="str">
        <f t="shared" si="17"/>
        <v>Расход воды на хозяйственно-бытовые нужды</v>
      </c>
      <c r="N93" s="762" t="str">
        <f t="shared" si="18"/>
        <v>Указывается доля расхода воды на хозяйственно-бытовые нужны от объема отпуска воды потребителям.</v>
      </c>
      <c r="O93" s="873"/>
      <c r="P93" s="873" t="s">
        <v>1443</v>
      </c>
      <c r="Q93" s="873"/>
      <c r="R93" s="873"/>
      <c r="S93" s="873"/>
      <c r="T93" s="761"/>
      <c r="U93" s="761" t="s">
        <v>1556</v>
      </c>
      <c r="V93" s="761"/>
      <c r="W93" s="761"/>
      <c r="X93" s="761"/>
      <c r="Y93" s="916"/>
      <c r="Z93" s="764"/>
      <c r="AA93" s="767" t="s">
        <v>1557</v>
      </c>
      <c r="AB93" s="764"/>
      <c r="AC93" s="764"/>
      <c r="AD93" s="764"/>
    </row>
    <row r="94" spans="1:30" ht="45" customHeight="1">
      <c r="A94" s="763"/>
      <c r="B94" s="818">
        <v>77</v>
      </c>
      <c r="C94" s="761"/>
      <c r="D94" s="883" t="s">
        <v>1551</v>
      </c>
      <c r="E94" s="761"/>
      <c r="F94" s="761"/>
      <c r="G94" s="761"/>
      <c r="H94" s="810"/>
      <c r="I94" s="921" t="str">
        <f t="shared" si="13"/>
        <v>15</v>
      </c>
      <c r="J94" s="921" t="str">
        <f t="shared" si="14"/>
        <v>Показатель использования производственных объектов (по объему перекачки), в том числе:</v>
      </c>
      <c r="K94" s="921"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62" t="str">
        <f t="shared" si="16"/>
        <v>15</v>
      </c>
      <c r="M94" s="762" t="str">
        <f t="shared" si="17"/>
        <v>Показатель использования производственных объектов (по объему перекачки), в том числе:</v>
      </c>
      <c r="N94" s="762"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73"/>
      <c r="P94" s="873" t="s">
        <v>869</v>
      </c>
      <c r="Q94" s="873"/>
      <c r="R94" s="873"/>
      <c r="S94" s="873"/>
      <c r="T94" s="761"/>
      <c r="U94" s="761" t="s">
        <v>1558</v>
      </c>
      <c r="V94" s="761"/>
      <c r="W94" s="761"/>
      <c r="X94" s="761"/>
      <c r="Y94" s="916"/>
      <c r="Z94" s="764"/>
      <c r="AA94" s="767" t="s">
        <v>1559</v>
      </c>
      <c r="AB94" s="764"/>
      <c r="AC94" s="764"/>
      <c r="AD94" s="764"/>
    </row>
    <row r="95" spans="1:30" ht="99" customHeight="1">
      <c r="A95" s="763"/>
      <c r="B95" s="818">
        <v>78</v>
      </c>
      <c r="C95" s="761" t="s">
        <v>1560</v>
      </c>
      <c r="D95" s="883"/>
      <c r="E95" s="761"/>
      <c r="F95" s="761"/>
      <c r="G95" s="761"/>
      <c r="H95" s="810"/>
      <c r="I95" s="921">
        <f t="shared" si="13"/>
        <v>0</v>
      </c>
      <c r="J95" s="921">
        <f t="shared" si="14"/>
        <v>0</v>
      </c>
      <c r="K95" s="921">
        <f t="shared" si="15"/>
        <v>0</v>
      </c>
      <c r="L95" s="762" t="str">
        <f t="shared" si="16"/>
        <v/>
      </c>
      <c r="M95" s="762" t="str">
        <f t="shared" si="17"/>
        <v/>
      </c>
      <c r="N95" s="762" t="str">
        <f t="shared" si="18"/>
        <v/>
      </c>
      <c r="O95" s="873" t="s">
        <v>869</v>
      </c>
      <c r="P95" s="873"/>
      <c r="Q95" s="873"/>
      <c r="R95" s="873"/>
      <c r="S95" s="873"/>
      <c r="T95" s="761" t="s">
        <v>1561</v>
      </c>
      <c r="U95" s="761"/>
      <c r="V95" s="761"/>
      <c r="W95" s="761"/>
      <c r="X95" s="761"/>
      <c r="Y95" s="916"/>
      <c r="Z95" s="764"/>
      <c r="AA95" s="767"/>
      <c r="AB95" s="764"/>
      <c r="AC95" s="764"/>
      <c r="AD95" s="764"/>
    </row>
    <row r="96" spans="1:30" ht="99" customHeight="1">
      <c r="A96" s="763"/>
      <c r="B96" s="818">
        <v>79</v>
      </c>
      <c r="C96" s="761" t="s">
        <v>1562</v>
      </c>
      <c r="D96" s="883"/>
      <c r="E96" s="761"/>
      <c r="F96" s="761"/>
      <c r="G96" s="761"/>
      <c r="H96" s="810"/>
      <c r="I96" s="921">
        <f t="shared" si="13"/>
        <v>0</v>
      </c>
      <c r="J96" s="921">
        <f t="shared" si="14"/>
        <v>0</v>
      </c>
      <c r="K96" s="921">
        <f t="shared" si="15"/>
        <v>0</v>
      </c>
      <c r="L96" s="762" t="str">
        <f t="shared" si="16"/>
        <v/>
      </c>
      <c r="M96" s="762" t="str">
        <f t="shared" si="17"/>
        <v/>
      </c>
      <c r="N96" s="762" t="str">
        <f t="shared" si="18"/>
        <v/>
      </c>
      <c r="O96" s="873" t="s">
        <v>875</v>
      </c>
      <c r="P96" s="873"/>
      <c r="Q96" s="873"/>
      <c r="R96" s="873"/>
      <c r="S96" s="873"/>
      <c r="T96" s="761" t="s">
        <v>1563</v>
      </c>
      <c r="U96" s="761"/>
      <c r="V96" s="761"/>
      <c r="W96" s="761"/>
      <c r="X96" s="761"/>
      <c r="Y96" s="916"/>
      <c r="Z96" s="764" t="s">
        <v>1564</v>
      </c>
      <c r="AA96" s="767"/>
      <c r="AB96" s="764"/>
      <c r="AC96" s="764"/>
      <c r="AD96" s="764"/>
    </row>
    <row r="97" spans="1:30" ht="63" customHeight="1">
      <c r="A97" s="763"/>
      <c r="B97" s="818">
        <v>80</v>
      </c>
      <c r="C97" s="761" t="s">
        <v>1565</v>
      </c>
      <c r="D97" s="883"/>
      <c r="E97" s="761"/>
      <c r="F97" s="761"/>
      <c r="G97" s="761"/>
      <c r="H97" s="810"/>
      <c r="I97" s="921">
        <f t="shared" si="13"/>
        <v>0</v>
      </c>
      <c r="J97" s="921">
        <f t="shared" si="14"/>
        <v>0</v>
      </c>
      <c r="K97" s="921">
        <f t="shared" si="15"/>
        <v>0</v>
      </c>
      <c r="L97" s="762" t="str">
        <f t="shared" si="16"/>
        <v/>
      </c>
      <c r="M97" s="762" t="str">
        <f t="shared" si="17"/>
        <v/>
      </c>
      <c r="N97" s="762" t="str">
        <f t="shared" si="18"/>
        <v/>
      </c>
      <c r="O97" s="873" t="s">
        <v>886</v>
      </c>
      <c r="P97" s="873"/>
      <c r="Q97" s="873"/>
      <c r="R97" s="873"/>
      <c r="S97" s="873"/>
      <c r="T97" s="761" t="s">
        <v>1566</v>
      </c>
      <c r="U97" s="761"/>
      <c r="V97" s="761"/>
      <c r="W97" s="761"/>
      <c r="X97" s="761"/>
      <c r="Y97" s="916"/>
      <c r="Z97" s="764" t="s">
        <v>1567</v>
      </c>
      <c r="AA97" s="767"/>
      <c r="AB97" s="764"/>
      <c r="AC97" s="764"/>
      <c r="AD97" s="764"/>
    </row>
    <row r="98" spans="1:30" ht="63" customHeight="1">
      <c r="A98" s="763"/>
      <c r="B98" s="818">
        <v>81</v>
      </c>
      <c r="C98" s="761" t="s">
        <v>1568</v>
      </c>
      <c r="D98" s="883"/>
      <c r="E98" s="761"/>
      <c r="F98" s="761"/>
      <c r="G98" s="761"/>
      <c r="H98" s="810"/>
      <c r="I98" s="921">
        <f t="shared" si="13"/>
        <v>0</v>
      </c>
      <c r="J98" s="921">
        <f t="shared" si="14"/>
        <v>0</v>
      </c>
      <c r="K98" s="921">
        <f t="shared" si="15"/>
        <v>0</v>
      </c>
      <c r="L98" s="762" t="str">
        <f t="shared" si="16"/>
        <v/>
      </c>
      <c r="M98" s="762" t="str">
        <f t="shared" si="17"/>
        <v/>
      </c>
      <c r="N98" s="762" t="str">
        <f t="shared" si="18"/>
        <v/>
      </c>
      <c r="O98" s="873" t="s">
        <v>900</v>
      </c>
      <c r="P98" s="873"/>
      <c r="Q98" s="873"/>
      <c r="R98" s="873"/>
      <c r="S98" s="873"/>
      <c r="T98" s="761" t="s">
        <v>1569</v>
      </c>
      <c r="U98" s="761"/>
      <c r="V98" s="761"/>
      <c r="W98" s="761"/>
      <c r="X98" s="761"/>
      <c r="Y98" s="916"/>
      <c r="Z98" s="764" t="s">
        <v>1567</v>
      </c>
      <c r="AA98" s="767"/>
      <c r="AB98" s="764"/>
      <c r="AC98" s="764"/>
      <c r="AD98" s="764"/>
    </row>
    <row r="99" spans="1:30" ht="90" customHeight="1">
      <c r="A99" s="763"/>
      <c r="B99" s="818">
        <v>82</v>
      </c>
      <c r="C99" s="761" t="s">
        <v>1570</v>
      </c>
      <c r="D99" s="883"/>
      <c r="E99" s="761"/>
      <c r="F99" s="761"/>
      <c r="G99" s="761"/>
      <c r="H99" s="810"/>
      <c r="I99" s="921">
        <f t="shared" si="13"/>
        <v>0</v>
      </c>
      <c r="J99" s="921">
        <f t="shared" si="14"/>
        <v>0</v>
      </c>
      <c r="K99" s="921">
        <f t="shared" si="15"/>
        <v>0</v>
      </c>
      <c r="L99" s="762" t="str">
        <f t="shared" si="16"/>
        <v/>
      </c>
      <c r="M99" s="762" t="str">
        <f t="shared" si="17"/>
        <v/>
      </c>
      <c r="N99" s="762" t="str">
        <f t="shared" si="18"/>
        <v/>
      </c>
      <c r="O99" s="873" t="s">
        <v>912</v>
      </c>
      <c r="P99" s="873"/>
      <c r="Q99" s="873"/>
      <c r="R99" s="873"/>
      <c r="S99" s="873"/>
      <c r="T99" s="761" t="s">
        <v>1571</v>
      </c>
      <c r="U99" s="761"/>
      <c r="V99" s="761"/>
      <c r="W99" s="761"/>
      <c r="X99" s="761"/>
      <c r="Y99" s="916"/>
      <c r="Z99" s="764" t="s">
        <v>1572</v>
      </c>
      <c r="AA99" s="767"/>
      <c r="AB99" s="764"/>
      <c r="AC99" s="764"/>
      <c r="AD99" s="764"/>
    </row>
    <row r="100" spans="1:30" ht="27" customHeight="1">
      <c r="A100" s="763"/>
      <c r="B100" s="818">
        <v>83</v>
      </c>
      <c r="C100" s="761"/>
      <c r="D100" s="883"/>
      <c r="E100" s="761"/>
      <c r="F100" s="761"/>
      <c r="G100" s="761"/>
      <c r="H100" s="810"/>
      <c r="I100" s="921">
        <f t="shared" si="13"/>
        <v>0</v>
      </c>
      <c r="J100" s="921">
        <f t="shared" si="14"/>
        <v>0</v>
      </c>
      <c r="K100" s="921">
        <f t="shared" si="15"/>
        <v>0</v>
      </c>
      <c r="L100" s="762" t="str">
        <f t="shared" si="16"/>
        <v/>
      </c>
      <c r="M100" s="762" t="str">
        <f t="shared" si="17"/>
        <v/>
      </c>
      <c r="N100" s="762" t="str">
        <f t="shared" si="18"/>
        <v/>
      </c>
      <c r="O100" s="873" t="s">
        <v>1573</v>
      </c>
      <c r="P100" s="873"/>
      <c r="Q100" s="873"/>
      <c r="R100" s="873"/>
      <c r="S100" s="873"/>
      <c r="T100" s="761" t="s">
        <v>1574</v>
      </c>
      <c r="U100" s="761"/>
      <c r="V100" s="761"/>
      <c r="W100" s="761"/>
      <c r="X100" s="761"/>
      <c r="Y100" s="916"/>
      <c r="Z100" s="764" t="s">
        <v>1572</v>
      </c>
      <c r="AA100" s="767"/>
      <c r="AB100" s="764"/>
      <c r="AC100" s="764"/>
      <c r="AD100" s="764"/>
    </row>
    <row r="101" spans="1:30" ht="27" customHeight="1">
      <c r="A101" s="763"/>
      <c r="B101" s="818">
        <v>84</v>
      </c>
      <c r="C101" s="761"/>
      <c r="D101" s="883"/>
      <c r="E101" s="761"/>
      <c r="F101" s="761"/>
      <c r="G101" s="761"/>
      <c r="H101" s="810"/>
      <c r="I101" s="921">
        <f t="shared" si="13"/>
        <v>0</v>
      </c>
      <c r="J101" s="921">
        <f t="shared" si="14"/>
        <v>0</v>
      </c>
      <c r="K101" s="921">
        <f t="shared" si="15"/>
        <v>0</v>
      </c>
      <c r="L101" s="762" t="str">
        <f t="shared" si="16"/>
        <v/>
      </c>
      <c r="M101" s="762" t="str">
        <f t="shared" si="17"/>
        <v/>
      </c>
      <c r="N101" s="762" t="str">
        <f t="shared" si="18"/>
        <v/>
      </c>
      <c r="O101" s="873" t="s">
        <v>1575</v>
      </c>
      <c r="P101" s="873"/>
      <c r="Q101" s="873"/>
      <c r="R101" s="873"/>
      <c r="S101" s="873"/>
      <c r="T101" s="761" t="s">
        <v>1576</v>
      </c>
      <c r="U101" s="761"/>
      <c r="V101" s="761"/>
      <c r="W101" s="761"/>
      <c r="X101" s="761"/>
      <c r="Y101" s="916"/>
      <c r="Z101" s="764" t="s">
        <v>1572</v>
      </c>
      <c r="AA101" s="767"/>
      <c r="AB101" s="764"/>
      <c r="AC101" s="764"/>
      <c r="AD101" s="764"/>
    </row>
    <row r="102" spans="1:30" ht="9" customHeight="1">
      <c r="A102" s="763"/>
      <c r="B102" s="763"/>
      <c r="C102" s="761"/>
      <c r="D102" s="761"/>
      <c r="E102" s="761"/>
      <c r="F102" s="761"/>
      <c r="G102" s="761"/>
      <c r="H102" s="810"/>
      <c r="I102" s="810"/>
      <c r="J102" s="810"/>
      <c r="K102" s="810"/>
      <c r="L102" s="810"/>
      <c r="M102" s="761"/>
      <c r="N102" s="809"/>
      <c r="O102" s="873"/>
      <c r="P102" s="873"/>
      <c r="Q102" s="873"/>
      <c r="R102" s="873"/>
      <c r="S102" s="761"/>
      <c r="T102" s="761"/>
      <c r="U102" s="761"/>
      <c r="V102" s="761"/>
      <c r="W102" s="761"/>
      <c r="X102" s="761"/>
      <c r="Y102" s="916"/>
      <c r="Z102" s="764"/>
      <c r="AA102" s="767"/>
      <c r="AB102" s="764"/>
      <c r="AC102" s="764"/>
      <c r="AD102" s="764"/>
    </row>
    <row r="103" spans="1:30" ht="9" customHeight="1">
      <c r="A103" s="763"/>
      <c r="B103" s="763"/>
      <c r="C103" s="761"/>
      <c r="D103" s="761"/>
      <c r="E103" s="761"/>
      <c r="F103" s="761"/>
      <c r="G103" s="761"/>
      <c r="H103" s="810"/>
      <c r="I103" s="810"/>
      <c r="J103" s="810"/>
      <c r="K103" s="810"/>
      <c r="L103" s="810"/>
      <c r="M103" s="761"/>
      <c r="N103" s="809"/>
      <c r="O103" s="873"/>
      <c r="P103" s="873"/>
      <c r="Q103" s="873"/>
      <c r="R103" s="873"/>
      <c r="S103" s="761"/>
      <c r="T103" s="761"/>
      <c r="U103" s="761"/>
      <c r="V103" s="761"/>
      <c r="W103" s="761"/>
      <c r="X103" s="761"/>
      <c r="Y103" s="916"/>
      <c r="Z103" s="764"/>
      <c r="AA103" s="767"/>
      <c r="AB103" s="764"/>
      <c r="AC103" s="764"/>
      <c r="AD103" s="764"/>
    </row>
    <row r="104" spans="1:30" ht="9" customHeight="1">
      <c r="A104" s="763"/>
      <c r="B104" s="763"/>
      <c r="C104" s="761"/>
      <c r="D104" s="761"/>
      <c r="E104" s="761"/>
      <c r="F104" s="761"/>
      <c r="G104" s="761"/>
      <c r="H104" s="810"/>
      <c r="I104" s="810"/>
      <c r="J104" s="810"/>
      <c r="K104" s="810"/>
      <c r="L104" s="810"/>
      <c r="M104" s="761"/>
      <c r="N104" s="809"/>
      <c r="O104" s="873"/>
      <c r="P104" s="873"/>
      <c r="Q104" s="873"/>
      <c r="R104" s="873"/>
      <c r="S104" s="761"/>
      <c r="T104" s="761"/>
      <c r="U104" s="761"/>
      <c r="V104" s="761"/>
      <c r="W104" s="761"/>
      <c r="X104" s="761"/>
      <c r="Y104" s="916"/>
      <c r="Z104" s="764"/>
      <c r="AA104" s="767"/>
      <c r="AB104" s="764"/>
      <c r="AC104" s="764"/>
      <c r="AD104" s="764"/>
    </row>
    <row r="105" spans="1:30" ht="9" customHeight="1">
      <c r="A105" s="763"/>
      <c r="B105" s="763"/>
      <c r="C105" s="761"/>
      <c r="D105" s="761"/>
      <c r="E105" s="761"/>
      <c r="F105" s="761"/>
      <c r="G105" s="761"/>
      <c r="H105" s="810"/>
      <c r="I105" s="810"/>
      <c r="J105" s="810"/>
      <c r="K105" s="810"/>
      <c r="L105" s="810"/>
      <c r="M105" s="761"/>
      <c r="N105" s="809"/>
      <c r="O105" s="873"/>
      <c r="P105" s="873"/>
      <c r="Q105" s="873"/>
      <c r="R105" s="873"/>
      <c r="S105" s="761"/>
      <c r="T105" s="761"/>
      <c r="U105" s="761"/>
      <c r="V105" s="761"/>
      <c r="W105" s="761"/>
      <c r="X105" s="761"/>
      <c r="Y105" s="916"/>
      <c r="Z105" s="764"/>
      <c r="AA105" s="767"/>
      <c r="AB105" s="764"/>
      <c r="AC105" s="764"/>
      <c r="AD105" s="764"/>
    </row>
    <row r="106" spans="1:30" ht="9" customHeight="1">
      <c r="A106" s="763"/>
      <c r="B106" s="763"/>
      <c r="C106" s="761"/>
      <c r="D106" s="761"/>
      <c r="E106" s="761"/>
      <c r="F106" s="761"/>
      <c r="G106" s="761"/>
      <c r="H106" s="810"/>
      <c r="I106" s="810"/>
      <c r="J106" s="810"/>
      <c r="K106" s="810"/>
      <c r="L106" s="810"/>
      <c r="M106" s="761"/>
      <c r="N106" s="809"/>
      <c r="O106" s="873"/>
      <c r="P106" s="873"/>
      <c r="Q106" s="873"/>
      <c r="R106" s="873"/>
      <c r="S106" s="761"/>
      <c r="T106" s="761"/>
      <c r="U106" s="761"/>
      <c r="V106" s="761"/>
      <c r="W106" s="761"/>
      <c r="X106" s="761"/>
      <c r="Y106" s="916"/>
      <c r="Z106" s="764"/>
      <c r="AA106" s="767"/>
      <c r="AB106" s="764"/>
      <c r="AC106" s="764"/>
      <c r="AD106" s="764"/>
    </row>
    <row r="107" spans="1:30" ht="9" customHeight="1">
      <c r="A107" s="763"/>
      <c r="B107" s="763"/>
      <c r="C107" s="761"/>
      <c r="D107" s="761"/>
      <c r="E107" s="761"/>
      <c r="F107" s="761"/>
      <c r="G107" s="761"/>
      <c r="H107" s="810"/>
      <c r="I107" s="810"/>
      <c r="J107" s="810"/>
      <c r="K107" s="810"/>
      <c r="L107" s="810"/>
      <c r="M107" s="761"/>
      <c r="N107" s="809"/>
      <c r="O107" s="873"/>
      <c r="P107" s="873"/>
      <c r="Q107" s="873"/>
      <c r="R107" s="873"/>
      <c r="S107" s="761"/>
      <c r="T107" s="761"/>
      <c r="U107" s="761"/>
      <c r="V107" s="761"/>
      <c r="W107" s="761"/>
      <c r="X107" s="761"/>
      <c r="Y107" s="916"/>
      <c r="Z107" s="764"/>
      <c r="AA107" s="767"/>
      <c r="AB107" s="764"/>
      <c r="AC107" s="764"/>
      <c r="AD107" s="764"/>
    </row>
    <row r="108" spans="1:30" ht="9" customHeight="1">
      <c r="A108" s="763"/>
      <c r="B108" s="763"/>
      <c r="C108" s="761"/>
      <c r="D108" s="761"/>
      <c r="E108" s="761"/>
      <c r="F108" s="761"/>
      <c r="G108" s="761"/>
      <c r="H108" s="810"/>
      <c r="I108" s="810"/>
      <c r="J108" s="810"/>
      <c r="K108" s="810"/>
      <c r="L108" s="810"/>
      <c r="M108" s="761"/>
      <c r="N108" s="809"/>
      <c r="O108" s="873"/>
      <c r="P108" s="873"/>
      <c r="Q108" s="873"/>
      <c r="R108" s="873"/>
      <c r="S108" s="761"/>
      <c r="T108" s="761"/>
      <c r="U108" s="761"/>
      <c r="V108" s="761"/>
      <c r="W108" s="761"/>
      <c r="X108" s="761"/>
      <c r="Y108" s="916"/>
      <c r="Z108" s="764"/>
      <c r="AA108" s="767"/>
      <c r="AB108" s="764"/>
      <c r="AC108" s="764"/>
      <c r="AD108" s="764"/>
    </row>
    <row r="109" spans="1:30" ht="9" customHeight="1">
      <c r="A109" s="763"/>
      <c r="B109" s="763"/>
      <c r="C109" s="761"/>
      <c r="D109" s="761"/>
      <c r="E109" s="761"/>
      <c r="F109" s="761"/>
      <c r="G109" s="761"/>
      <c r="H109" s="810"/>
      <c r="I109" s="810"/>
      <c r="J109" s="810"/>
      <c r="K109" s="810"/>
      <c r="L109" s="810"/>
      <c r="M109" s="761"/>
      <c r="N109" s="809"/>
      <c r="O109" s="873"/>
      <c r="P109" s="873"/>
      <c r="Q109" s="873"/>
      <c r="R109" s="873"/>
      <c r="S109" s="761"/>
      <c r="T109" s="761"/>
      <c r="U109" s="761"/>
      <c r="V109" s="761"/>
      <c r="W109" s="761"/>
      <c r="X109" s="761"/>
      <c r="Y109" s="916"/>
      <c r="Z109" s="764"/>
      <c r="AA109" s="767"/>
      <c r="AB109" s="764"/>
      <c r="AC109" s="764"/>
      <c r="AD109" s="764"/>
    </row>
    <row r="110" spans="1:30" ht="9" customHeight="1">
      <c r="A110" s="763"/>
      <c r="B110" s="763"/>
      <c r="C110" s="761"/>
      <c r="D110" s="761"/>
      <c r="E110" s="761"/>
      <c r="F110" s="761"/>
      <c r="G110" s="761"/>
      <c r="H110" s="810"/>
      <c r="I110" s="810"/>
      <c r="J110" s="810"/>
      <c r="K110" s="810"/>
      <c r="L110" s="810"/>
      <c r="M110" s="761"/>
      <c r="N110" s="809"/>
      <c r="O110" s="873"/>
      <c r="P110" s="873"/>
      <c r="Q110" s="873"/>
      <c r="R110" s="873"/>
      <c r="S110" s="761"/>
      <c r="T110" s="761"/>
      <c r="U110" s="761"/>
      <c r="V110" s="761"/>
      <c r="W110" s="761"/>
      <c r="X110" s="761"/>
      <c r="Y110" s="916"/>
      <c r="Z110" s="764"/>
      <c r="AA110" s="767"/>
      <c r="AB110" s="764"/>
      <c r="AC110" s="764"/>
      <c r="AD110" s="764"/>
    </row>
    <row r="111" spans="1:30" ht="9" customHeight="1">
      <c r="A111" s="763"/>
      <c r="B111" s="763"/>
      <c r="C111" s="761"/>
      <c r="D111" s="761"/>
      <c r="E111" s="761"/>
      <c r="F111" s="761"/>
      <c r="G111" s="761"/>
      <c r="H111" s="810"/>
      <c r="I111" s="810"/>
      <c r="J111" s="810"/>
      <c r="K111" s="810"/>
      <c r="L111" s="810"/>
      <c r="M111" s="761"/>
      <c r="N111" s="809"/>
      <c r="O111" s="873"/>
      <c r="P111" s="873"/>
      <c r="Q111" s="873"/>
      <c r="R111" s="873"/>
      <c r="S111" s="761"/>
      <c r="T111" s="761"/>
      <c r="U111" s="761"/>
      <c r="V111" s="761"/>
      <c r="W111" s="761"/>
      <c r="X111" s="761"/>
      <c r="Y111" s="916"/>
      <c r="Z111" s="764"/>
      <c r="AA111" s="767"/>
      <c r="AB111" s="764"/>
      <c r="AC111" s="764"/>
      <c r="AD111" s="764"/>
    </row>
    <row r="112" spans="1:30" ht="9" customHeight="1">
      <c r="A112" s="763"/>
      <c r="B112" s="763"/>
      <c r="C112" s="761"/>
      <c r="D112" s="761"/>
      <c r="E112" s="761"/>
      <c r="F112" s="761"/>
      <c r="G112" s="761"/>
      <c r="H112" s="810"/>
      <c r="I112" s="810"/>
      <c r="J112" s="810"/>
      <c r="K112" s="810"/>
      <c r="L112" s="810"/>
      <c r="M112" s="761"/>
      <c r="N112" s="809"/>
      <c r="O112" s="873"/>
      <c r="P112" s="873"/>
      <c r="Q112" s="873"/>
      <c r="R112" s="873"/>
      <c r="S112" s="761"/>
      <c r="T112" s="761"/>
      <c r="U112" s="761"/>
      <c r="V112" s="761"/>
      <c r="W112" s="761"/>
      <c r="X112" s="761"/>
      <c r="Y112" s="916"/>
      <c r="Z112" s="764"/>
      <c r="AA112" s="767"/>
      <c r="AB112" s="764"/>
      <c r="AC112" s="764"/>
      <c r="AD112" s="764"/>
    </row>
    <row r="113" spans="1:30" ht="9" customHeight="1">
      <c r="A113" s="763"/>
      <c r="B113" s="763"/>
      <c r="C113" s="761"/>
      <c r="D113" s="761"/>
      <c r="E113" s="761"/>
      <c r="F113" s="761"/>
      <c r="G113" s="761"/>
      <c r="H113" s="810"/>
      <c r="I113" s="810"/>
      <c r="J113" s="810"/>
      <c r="K113" s="810"/>
      <c r="L113" s="810"/>
      <c r="M113" s="761"/>
      <c r="N113" s="809"/>
      <c r="O113" s="873"/>
      <c r="P113" s="873"/>
      <c r="Q113" s="873"/>
      <c r="R113" s="873"/>
      <c r="S113" s="761"/>
      <c r="T113" s="761"/>
      <c r="U113" s="761"/>
      <c r="V113" s="761"/>
      <c r="W113" s="761"/>
      <c r="X113" s="761"/>
      <c r="Y113" s="916"/>
      <c r="Z113" s="764"/>
      <c r="AA113" s="767"/>
      <c r="AB113" s="764"/>
      <c r="AC113" s="764"/>
      <c r="AD113" s="764"/>
    </row>
    <row r="114" spans="1:30" ht="9" customHeight="1">
      <c r="A114" s="763"/>
      <c r="B114" s="763"/>
      <c r="C114" s="761"/>
      <c r="D114" s="761"/>
      <c r="E114" s="761"/>
      <c r="F114" s="761"/>
      <c r="G114" s="761"/>
      <c r="H114" s="810"/>
      <c r="I114" s="810"/>
      <c r="J114" s="810"/>
      <c r="K114" s="810"/>
      <c r="L114" s="810"/>
      <c r="M114" s="761"/>
      <c r="N114" s="809"/>
      <c r="O114" s="873"/>
      <c r="P114" s="873"/>
      <c r="Q114" s="873"/>
      <c r="R114" s="873"/>
      <c r="S114" s="761"/>
      <c r="T114" s="761"/>
      <c r="U114" s="761"/>
      <c r="V114" s="761"/>
      <c r="W114" s="761"/>
      <c r="X114" s="761"/>
      <c r="Y114" s="916"/>
      <c r="Z114" s="764"/>
      <c r="AA114" s="767"/>
      <c r="AB114" s="764"/>
      <c r="AC114" s="764"/>
      <c r="AD114" s="764"/>
    </row>
    <row r="115" spans="1:30" ht="9" customHeight="1">
      <c r="A115" s="763"/>
      <c r="B115" s="763"/>
      <c r="C115" s="761"/>
      <c r="D115" s="761"/>
      <c r="E115" s="761"/>
      <c r="F115" s="761"/>
      <c r="G115" s="761"/>
      <c r="H115" s="810"/>
      <c r="I115" s="810"/>
      <c r="J115" s="810"/>
      <c r="K115" s="810"/>
      <c r="L115" s="810"/>
      <c r="M115" s="761"/>
      <c r="N115" s="809"/>
      <c r="O115" s="873"/>
      <c r="P115" s="873"/>
      <c r="Q115" s="873"/>
      <c r="R115" s="873"/>
      <c r="S115" s="761"/>
      <c r="T115" s="761"/>
      <c r="U115" s="761"/>
      <c r="V115" s="761"/>
      <c r="W115" s="761"/>
      <c r="X115" s="761"/>
      <c r="Y115" s="916"/>
      <c r="Z115" s="764"/>
      <c r="AA115" s="767"/>
      <c r="AB115" s="764"/>
      <c r="AC115" s="764"/>
      <c r="AD115" s="764"/>
    </row>
    <row r="116" spans="1:30" ht="9" customHeight="1">
      <c r="A116" s="763"/>
      <c r="B116" s="763"/>
      <c r="C116" s="761"/>
      <c r="D116" s="761"/>
      <c r="E116" s="761"/>
      <c r="F116" s="761"/>
      <c r="G116" s="761"/>
      <c r="H116" s="810"/>
      <c r="I116" s="810"/>
      <c r="J116" s="810"/>
      <c r="K116" s="810"/>
      <c r="L116" s="810"/>
      <c r="M116" s="761"/>
      <c r="N116" s="809"/>
      <c r="O116" s="873"/>
      <c r="P116" s="873"/>
      <c r="Q116" s="873"/>
      <c r="R116" s="873"/>
      <c r="S116" s="761"/>
      <c r="T116" s="761"/>
      <c r="U116" s="761"/>
      <c r="V116" s="761"/>
      <c r="W116" s="761"/>
      <c r="X116" s="761"/>
      <c r="Y116" s="916"/>
      <c r="Z116" s="764"/>
      <c r="AA116" s="767"/>
      <c r="AB116" s="764"/>
      <c r="AC116" s="764"/>
      <c r="AD116" s="764"/>
    </row>
    <row r="117" spans="1:30" ht="9" customHeight="1">
      <c r="A117" s="763"/>
      <c r="B117" s="763"/>
      <c r="C117" s="761"/>
      <c r="D117" s="761"/>
      <c r="E117" s="761"/>
      <c r="F117" s="761"/>
      <c r="G117" s="761"/>
      <c r="H117" s="810"/>
      <c r="I117" s="810"/>
      <c r="J117" s="810"/>
      <c r="K117" s="810"/>
      <c r="L117" s="810"/>
      <c r="M117" s="761"/>
      <c r="N117" s="809"/>
      <c r="O117" s="873"/>
      <c r="P117" s="873"/>
      <c r="Q117" s="873"/>
      <c r="R117" s="873"/>
      <c r="S117" s="761"/>
      <c r="T117" s="761"/>
      <c r="U117" s="761"/>
      <c r="V117" s="761"/>
      <c r="W117" s="761"/>
      <c r="X117" s="761"/>
      <c r="Y117" s="916"/>
      <c r="Z117" s="764"/>
      <c r="AA117" s="767"/>
      <c r="AB117" s="764"/>
      <c r="AC117" s="764"/>
      <c r="AD117" s="764"/>
    </row>
    <row r="118" spans="1:30" ht="9" customHeight="1">
      <c r="A118" s="763"/>
      <c r="B118" s="763"/>
      <c r="C118" s="761"/>
      <c r="D118" s="761"/>
      <c r="E118" s="761"/>
      <c r="F118" s="761"/>
      <c r="G118" s="761"/>
      <c r="H118" s="810"/>
      <c r="I118" s="810"/>
      <c r="J118" s="810"/>
      <c r="K118" s="810"/>
      <c r="L118" s="810"/>
      <c r="M118" s="761"/>
      <c r="N118" s="809"/>
      <c r="O118" s="873"/>
      <c r="P118" s="873"/>
      <c r="Q118" s="873"/>
      <c r="R118" s="873"/>
      <c r="S118" s="761"/>
      <c r="T118" s="761"/>
      <c r="U118" s="761"/>
      <c r="V118" s="761"/>
      <c r="W118" s="761"/>
      <c r="X118" s="761"/>
      <c r="Y118" s="916"/>
      <c r="Z118" s="764"/>
      <c r="AA118" s="767"/>
      <c r="AB118" s="764"/>
      <c r="AC118" s="764"/>
      <c r="AD118" s="764"/>
    </row>
    <row r="119" spans="1:30" ht="9" customHeight="1">
      <c r="A119" s="763"/>
      <c r="B119" s="763"/>
      <c r="C119" s="761"/>
      <c r="D119" s="761"/>
      <c r="E119" s="761"/>
      <c r="F119" s="761"/>
      <c r="G119" s="761"/>
      <c r="H119" s="810"/>
      <c r="I119" s="810"/>
      <c r="J119" s="810"/>
      <c r="K119" s="810"/>
      <c r="L119" s="810"/>
      <c r="M119" s="761"/>
      <c r="N119" s="809"/>
      <c r="O119" s="873"/>
      <c r="P119" s="873"/>
      <c r="Q119" s="873"/>
      <c r="R119" s="873"/>
      <c r="S119" s="761"/>
      <c r="T119" s="761"/>
      <c r="U119" s="761"/>
      <c r="V119" s="761"/>
      <c r="W119" s="761"/>
      <c r="X119" s="761"/>
      <c r="Y119" s="916"/>
      <c r="Z119" s="764"/>
      <c r="AA119" s="767"/>
      <c r="AB119" s="764"/>
      <c r="AC119" s="764"/>
      <c r="AD119" s="764"/>
    </row>
    <row r="120" spans="1:30" ht="9" customHeight="1">
      <c r="A120" s="763"/>
      <c r="B120" s="763"/>
      <c r="C120" s="761"/>
      <c r="D120" s="761"/>
      <c r="E120" s="761"/>
      <c r="F120" s="761"/>
      <c r="G120" s="761"/>
      <c r="H120" s="810"/>
      <c r="I120" s="810"/>
      <c r="J120" s="810"/>
      <c r="K120" s="810"/>
      <c r="L120" s="810"/>
      <c r="M120" s="761"/>
      <c r="N120" s="809"/>
      <c r="O120" s="873"/>
      <c r="P120" s="873"/>
      <c r="Q120" s="873"/>
      <c r="R120" s="873"/>
      <c r="S120" s="761"/>
      <c r="T120" s="761"/>
      <c r="U120" s="761"/>
      <c r="V120" s="761"/>
      <c r="W120" s="761"/>
      <c r="X120" s="761"/>
      <c r="Y120" s="916"/>
      <c r="Z120" s="764"/>
      <c r="AA120" s="767"/>
      <c r="AB120" s="764"/>
      <c r="AC120" s="764"/>
      <c r="AD120" s="764"/>
    </row>
    <row r="121" spans="1:30" ht="9" customHeight="1">
      <c r="A121" s="763"/>
      <c r="B121" s="763"/>
      <c r="C121" s="761"/>
      <c r="D121" s="761"/>
      <c r="E121" s="761"/>
      <c r="F121" s="761"/>
      <c r="G121" s="761"/>
      <c r="H121" s="810"/>
      <c r="I121" s="810"/>
      <c r="J121" s="810"/>
      <c r="K121" s="810"/>
      <c r="L121" s="810"/>
      <c r="M121" s="761"/>
      <c r="N121" s="809"/>
      <c r="O121" s="873"/>
      <c r="P121" s="873"/>
      <c r="Q121" s="873"/>
      <c r="R121" s="873"/>
      <c r="S121" s="761"/>
      <c r="T121" s="761"/>
      <c r="U121" s="761"/>
      <c r="V121" s="761"/>
      <c r="W121" s="761"/>
      <c r="X121" s="761"/>
      <c r="Y121" s="916"/>
      <c r="Z121" s="764"/>
      <c r="AA121" s="767"/>
      <c r="AB121" s="764"/>
      <c r="AC121" s="764"/>
      <c r="AD121" s="764"/>
    </row>
    <row r="122" spans="1:30" ht="9" customHeight="1">
      <c r="A122" s="763"/>
      <c r="B122" s="763"/>
      <c r="C122" s="761"/>
      <c r="D122" s="761"/>
      <c r="E122" s="761"/>
      <c r="F122" s="761"/>
      <c r="G122" s="761"/>
      <c r="H122" s="810"/>
      <c r="I122" s="810"/>
      <c r="J122" s="810"/>
      <c r="K122" s="810"/>
      <c r="L122" s="810"/>
      <c r="M122" s="761"/>
      <c r="N122" s="809"/>
      <c r="O122" s="873"/>
      <c r="P122" s="873"/>
      <c r="Q122" s="873"/>
      <c r="R122" s="873"/>
      <c r="S122" s="761"/>
      <c r="T122" s="761"/>
      <c r="U122" s="761"/>
      <c r="V122" s="761"/>
      <c r="W122" s="761"/>
      <c r="X122" s="761"/>
      <c r="Y122" s="916"/>
      <c r="Z122" s="764"/>
      <c r="AA122" s="767"/>
      <c r="AB122" s="764"/>
      <c r="AC122" s="764"/>
      <c r="AD122" s="764"/>
    </row>
    <row r="123" spans="1:30" ht="9" customHeight="1">
      <c r="A123" s="763"/>
      <c r="B123" s="763"/>
      <c r="C123" s="761"/>
      <c r="D123" s="761"/>
      <c r="E123" s="761"/>
      <c r="F123" s="761"/>
      <c r="G123" s="761"/>
      <c r="H123" s="810"/>
      <c r="I123" s="810"/>
      <c r="J123" s="810"/>
      <c r="K123" s="810"/>
      <c r="L123" s="810"/>
      <c r="M123" s="761"/>
      <c r="N123" s="809"/>
      <c r="O123" s="873"/>
      <c r="P123" s="873"/>
      <c r="Q123" s="873"/>
      <c r="R123" s="873"/>
      <c r="S123" s="761"/>
      <c r="T123" s="761"/>
      <c r="U123" s="761"/>
      <c r="V123" s="761"/>
      <c r="W123" s="761"/>
      <c r="X123" s="761"/>
      <c r="Y123" s="916"/>
      <c r="Z123" s="764"/>
      <c r="AA123" s="767"/>
      <c r="AB123" s="764"/>
      <c r="AC123" s="764"/>
      <c r="AD123" s="764"/>
    </row>
    <row r="124" spans="1:30" ht="9" customHeight="1">
      <c r="A124" s="763"/>
      <c r="B124" s="763"/>
      <c r="C124" s="761"/>
      <c r="D124" s="761"/>
      <c r="E124" s="761"/>
      <c r="F124" s="761"/>
      <c r="G124" s="761"/>
      <c r="H124" s="810"/>
      <c r="I124" s="810"/>
      <c r="J124" s="810"/>
      <c r="K124" s="810"/>
      <c r="L124" s="810"/>
      <c r="M124" s="761"/>
      <c r="N124" s="809"/>
      <c r="O124" s="873"/>
      <c r="P124" s="873"/>
      <c r="Q124" s="873"/>
      <c r="R124" s="873"/>
      <c r="S124" s="761"/>
      <c r="T124" s="761"/>
      <c r="U124" s="761"/>
      <c r="V124" s="761"/>
      <c r="W124" s="761"/>
      <c r="X124" s="761"/>
      <c r="Y124" s="916"/>
      <c r="Z124" s="764"/>
      <c r="AA124" s="767"/>
      <c r="AB124" s="764"/>
      <c r="AC124" s="764"/>
      <c r="AD124" s="764"/>
    </row>
    <row r="125" spans="1:30" ht="9" customHeight="1">
      <c r="A125" s="763"/>
      <c r="B125" s="763"/>
      <c r="C125" s="761"/>
      <c r="D125" s="761"/>
      <c r="E125" s="761"/>
      <c r="F125" s="761"/>
      <c r="G125" s="761"/>
      <c r="H125" s="810"/>
      <c r="I125" s="810"/>
      <c r="J125" s="810"/>
      <c r="K125" s="810"/>
      <c r="L125" s="810"/>
      <c r="M125" s="761"/>
      <c r="N125" s="809"/>
      <c r="O125" s="873"/>
      <c r="P125" s="873"/>
      <c r="Q125" s="873"/>
      <c r="R125" s="873"/>
      <c r="S125" s="761"/>
      <c r="T125" s="761"/>
      <c r="U125" s="761"/>
      <c r="V125" s="761"/>
      <c r="W125" s="761"/>
      <c r="X125" s="761"/>
      <c r="Y125" s="916"/>
      <c r="Z125" s="764"/>
      <c r="AA125" s="767"/>
      <c r="AB125" s="764"/>
      <c r="AC125" s="764"/>
      <c r="AD125" s="764"/>
    </row>
    <row r="126" spans="1:30" ht="9" customHeight="1">
      <c r="A126" s="763"/>
      <c r="B126" s="763"/>
      <c r="C126" s="761"/>
      <c r="D126" s="761"/>
      <c r="E126" s="761"/>
      <c r="F126" s="761"/>
      <c r="G126" s="761"/>
      <c r="H126" s="810"/>
      <c r="I126" s="810"/>
      <c r="J126" s="810"/>
      <c r="K126" s="810"/>
      <c r="L126" s="810"/>
      <c r="M126" s="761"/>
      <c r="N126" s="809"/>
      <c r="O126" s="873"/>
      <c r="P126" s="873"/>
      <c r="Q126" s="873"/>
      <c r="R126" s="873"/>
      <c r="S126" s="761"/>
      <c r="T126" s="761"/>
      <c r="U126" s="761"/>
      <c r="V126" s="761"/>
      <c r="W126" s="761"/>
      <c r="X126" s="761"/>
      <c r="Y126" s="916"/>
      <c r="Z126" s="764"/>
      <c r="AA126" s="767"/>
      <c r="AB126" s="764"/>
      <c r="AC126" s="764"/>
      <c r="AD126" s="764"/>
    </row>
    <row r="127" spans="1:30" ht="9" customHeight="1">
      <c r="A127" s="763"/>
      <c r="B127" s="763"/>
      <c r="C127" s="761"/>
      <c r="D127" s="761"/>
      <c r="E127" s="761"/>
      <c r="F127" s="761"/>
      <c r="G127" s="761"/>
      <c r="H127" s="810"/>
      <c r="I127" s="810"/>
      <c r="J127" s="810"/>
      <c r="K127" s="810"/>
      <c r="L127" s="810"/>
      <c r="M127" s="761"/>
      <c r="N127" s="809"/>
      <c r="O127" s="873"/>
      <c r="P127" s="873"/>
      <c r="Q127" s="873"/>
      <c r="R127" s="873"/>
      <c r="S127" s="761"/>
      <c r="T127" s="761"/>
      <c r="U127" s="761"/>
      <c r="V127" s="761"/>
      <c r="W127" s="761"/>
      <c r="X127" s="761"/>
      <c r="Y127" s="916"/>
      <c r="Z127" s="764"/>
      <c r="AA127" s="767"/>
      <c r="AB127" s="764"/>
      <c r="AC127" s="764"/>
      <c r="AD127" s="764"/>
    </row>
    <row r="128" spans="1:30" ht="9" customHeight="1">
      <c r="A128" s="763"/>
      <c r="B128" s="763"/>
      <c r="C128" s="761"/>
      <c r="D128" s="761"/>
      <c r="E128" s="761"/>
      <c r="F128" s="761"/>
      <c r="G128" s="761"/>
      <c r="H128" s="810"/>
      <c r="I128" s="810"/>
      <c r="J128" s="810"/>
      <c r="K128" s="810"/>
      <c r="L128" s="810"/>
      <c r="M128" s="761"/>
      <c r="N128" s="809"/>
      <c r="O128" s="873"/>
      <c r="P128" s="873"/>
      <c r="Q128" s="873"/>
      <c r="R128" s="873"/>
      <c r="S128" s="761"/>
      <c r="T128" s="761"/>
      <c r="U128" s="761"/>
      <c r="V128" s="761"/>
      <c r="W128" s="761"/>
      <c r="X128" s="761"/>
      <c r="Y128" s="916"/>
      <c r="Z128" s="764"/>
      <c r="AA128" s="767"/>
      <c r="AB128" s="764"/>
      <c r="AC128" s="764"/>
      <c r="AD128" s="764"/>
    </row>
    <row r="129" spans="1:30" ht="9" customHeight="1">
      <c r="A129" s="763"/>
      <c r="B129" s="763"/>
      <c r="C129" s="761"/>
      <c r="D129" s="761"/>
      <c r="E129" s="761"/>
      <c r="F129" s="761"/>
      <c r="G129" s="761"/>
      <c r="H129" s="810"/>
      <c r="I129" s="810"/>
      <c r="J129" s="810"/>
      <c r="K129" s="810"/>
      <c r="L129" s="810"/>
      <c r="M129" s="761"/>
      <c r="N129" s="809"/>
      <c r="O129" s="873"/>
      <c r="P129" s="873"/>
      <c r="Q129" s="873"/>
      <c r="R129" s="873"/>
      <c r="S129" s="761"/>
      <c r="T129" s="761"/>
      <c r="U129" s="761"/>
      <c r="V129" s="761"/>
      <c r="W129" s="761"/>
      <c r="X129" s="761"/>
      <c r="Y129" s="916"/>
      <c r="Z129" s="764"/>
      <c r="AA129" s="767"/>
      <c r="AB129" s="764"/>
      <c r="AC129" s="764"/>
      <c r="AD129" s="764"/>
    </row>
    <row r="130" spans="1:30" ht="9" customHeight="1">
      <c r="A130" s="763"/>
      <c r="B130" s="763"/>
      <c r="C130" s="761"/>
      <c r="D130" s="761"/>
      <c r="E130" s="761"/>
      <c r="F130" s="761"/>
      <c r="G130" s="761"/>
      <c r="H130" s="810"/>
      <c r="I130" s="810"/>
      <c r="J130" s="810"/>
      <c r="K130" s="810"/>
      <c r="L130" s="810"/>
      <c r="M130" s="761"/>
      <c r="N130" s="809"/>
      <c r="O130" s="875"/>
      <c r="P130" s="875"/>
      <c r="Q130" s="875"/>
      <c r="R130" s="875"/>
      <c r="S130" s="761"/>
      <c r="T130" s="761"/>
      <c r="U130" s="761"/>
      <c r="V130" s="761"/>
      <c r="W130" s="761"/>
      <c r="X130" s="761"/>
      <c r="Y130" s="916"/>
      <c r="Z130" s="764"/>
      <c r="AA130" s="767"/>
      <c r="AB130" s="764"/>
      <c r="AC130" s="764"/>
      <c r="AD130" s="764"/>
    </row>
    <row r="131" spans="1:30" ht="9" customHeight="1">
      <c r="A131" s="763"/>
      <c r="B131" s="763"/>
      <c r="C131" s="761"/>
      <c r="D131" s="761"/>
      <c r="E131" s="761"/>
      <c r="F131" s="761"/>
      <c r="G131" s="761"/>
      <c r="H131" s="810"/>
      <c r="I131" s="810"/>
      <c r="J131" s="810"/>
      <c r="K131" s="810"/>
      <c r="L131" s="810"/>
      <c r="M131" s="761"/>
      <c r="N131" s="809"/>
      <c r="O131" s="876"/>
      <c r="P131" s="876"/>
      <c r="Q131" s="876"/>
      <c r="R131" s="876"/>
      <c r="S131" s="761"/>
      <c r="T131" s="761"/>
      <c r="U131" s="761"/>
      <c r="V131" s="761"/>
      <c r="W131" s="761"/>
      <c r="X131" s="761"/>
      <c r="Y131" s="916"/>
      <c r="Z131" s="764"/>
      <c r="AA131" s="767"/>
      <c r="AB131" s="764"/>
      <c r="AC131" s="764"/>
      <c r="AD131" s="764"/>
    </row>
    <row r="132" spans="1:30" ht="9" customHeight="1">
      <c r="A132" s="763"/>
      <c r="B132" s="763"/>
      <c r="C132" s="761"/>
      <c r="D132" s="761"/>
      <c r="E132" s="761"/>
      <c r="F132" s="761"/>
      <c r="G132" s="761"/>
      <c r="H132" s="810"/>
      <c r="I132" s="810"/>
      <c r="J132" s="810"/>
      <c r="K132" s="810"/>
      <c r="L132" s="810"/>
      <c r="M132" s="761"/>
      <c r="N132" s="809"/>
      <c r="O132" s="875"/>
      <c r="P132" s="875"/>
      <c r="Q132" s="875"/>
      <c r="R132" s="875"/>
      <c r="S132" s="761"/>
      <c r="T132" s="761"/>
      <c r="U132" s="761"/>
      <c r="V132" s="761"/>
      <c r="W132" s="761"/>
      <c r="X132" s="761"/>
      <c r="Y132" s="916"/>
      <c r="Z132" s="764"/>
      <c r="AA132" s="767"/>
      <c r="AB132" s="764"/>
      <c r="AC132" s="764"/>
      <c r="AD132" s="764"/>
    </row>
    <row r="133" spans="1:30" ht="9" customHeight="1">
      <c r="A133" s="763"/>
      <c r="B133" s="763"/>
      <c r="C133" s="761"/>
      <c r="D133" s="761"/>
      <c r="E133" s="761"/>
      <c r="F133" s="761"/>
      <c r="G133" s="761"/>
      <c r="H133" s="810"/>
      <c r="I133" s="810"/>
      <c r="J133" s="810"/>
      <c r="K133" s="810"/>
      <c r="L133" s="810"/>
      <c r="M133" s="761"/>
      <c r="N133" s="809"/>
      <c r="O133" s="876"/>
      <c r="P133" s="876"/>
      <c r="Q133" s="876"/>
      <c r="R133" s="876"/>
      <c r="S133" s="761"/>
      <c r="T133" s="761"/>
      <c r="U133" s="761"/>
      <c r="V133" s="761"/>
      <c r="W133" s="761"/>
      <c r="X133" s="761"/>
      <c r="Y133" s="916"/>
      <c r="Z133" s="764"/>
      <c r="AA133" s="767"/>
      <c r="AB133" s="764"/>
      <c r="AC133" s="764"/>
      <c r="AD133" s="764"/>
    </row>
    <row r="134" spans="1:30" ht="9" customHeight="1">
      <c r="A134" s="763"/>
      <c r="B134" s="763"/>
      <c r="C134" s="761"/>
      <c r="D134" s="761"/>
      <c r="E134" s="761"/>
      <c r="F134" s="761"/>
      <c r="G134" s="761"/>
      <c r="H134" s="810"/>
      <c r="I134" s="810"/>
      <c r="J134" s="810"/>
      <c r="K134" s="810"/>
      <c r="L134" s="810"/>
      <c r="M134" s="761"/>
      <c r="N134" s="809"/>
      <c r="O134" s="873"/>
      <c r="P134" s="873"/>
      <c r="Q134" s="873"/>
      <c r="R134" s="873"/>
      <c r="S134" s="761"/>
      <c r="T134" s="761"/>
      <c r="U134" s="761"/>
      <c r="V134" s="761"/>
      <c r="W134" s="761"/>
      <c r="X134" s="761"/>
      <c r="Y134" s="916"/>
      <c r="Z134" s="764"/>
      <c r="AA134" s="767"/>
      <c r="AB134" s="764"/>
      <c r="AC134" s="764"/>
      <c r="AD134" s="764"/>
    </row>
    <row r="135" spans="1:30" ht="9" customHeight="1">
      <c r="A135" s="763"/>
      <c r="B135" s="763"/>
      <c r="C135" s="761"/>
      <c r="D135" s="761"/>
      <c r="E135" s="761"/>
      <c r="F135" s="761"/>
      <c r="G135" s="761"/>
      <c r="H135" s="810"/>
      <c r="I135" s="810"/>
      <c r="J135" s="810"/>
      <c r="K135" s="810"/>
      <c r="L135" s="810"/>
      <c r="M135" s="761"/>
      <c r="N135" s="809"/>
      <c r="O135" s="873"/>
      <c r="P135" s="873"/>
      <c r="Q135" s="873"/>
      <c r="R135" s="873"/>
      <c r="S135" s="761"/>
      <c r="T135" s="761"/>
      <c r="U135" s="761"/>
      <c r="V135" s="761"/>
      <c r="W135" s="761"/>
      <c r="X135" s="761"/>
      <c r="Y135" s="916"/>
      <c r="Z135" s="764"/>
      <c r="AA135" s="767"/>
      <c r="AB135" s="764"/>
      <c r="AC135" s="764"/>
      <c r="AD135" s="764"/>
    </row>
    <row r="136" spans="1:30" ht="9" customHeight="1">
      <c r="A136" s="763"/>
      <c r="B136" s="763"/>
      <c r="C136" s="761"/>
      <c r="D136" s="761"/>
      <c r="E136" s="761"/>
      <c r="F136" s="761"/>
      <c r="G136" s="761"/>
      <c r="H136" s="810"/>
      <c r="I136" s="810"/>
      <c r="J136" s="810"/>
      <c r="K136" s="810"/>
      <c r="L136" s="810"/>
      <c r="M136" s="761"/>
      <c r="N136" s="809"/>
      <c r="O136" s="873"/>
      <c r="P136" s="873"/>
      <c r="Q136" s="873"/>
      <c r="R136" s="873"/>
      <c r="S136" s="761"/>
      <c r="T136" s="761"/>
      <c r="U136" s="761"/>
      <c r="V136" s="761"/>
      <c r="W136" s="761"/>
      <c r="X136" s="761"/>
      <c r="Y136" s="916"/>
      <c r="Z136" s="764"/>
      <c r="AA136" s="767"/>
      <c r="AB136" s="764"/>
      <c r="AC136" s="764"/>
      <c r="AD136" s="764"/>
    </row>
    <row r="137" spans="1:30" ht="9" customHeight="1">
      <c r="A137" s="763"/>
      <c r="B137" s="763"/>
      <c r="C137" s="761"/>
      <c r="D137" s="761"/>
      <c r="E137" s="761"/>
      <c r="F137" s="761"/>
      <c r="G137" s="761"/>
      <c r="H137" s="810"/>
      <c r="I137" s="810"/>
      <c r="J137" s="810"/>
      <c r="K137" s="810"/>
      <c r="L137" s="810"/>
      <c r="M137" s="761"/>
      <c r="N137" s="809"/>
      <c r="O137" s="877"/>
      <c r="P137" s="877"/>
      <c r="Q137" s="877"/>
      <c r="R137" s="877"/>
      <c r="S137" s="761"/>
      <c r="T137" s="761"/>
      <c r="U137" s="761"/>
      <c r="V137" s="761"/>
      <c r="W137" s="761"/>
      <c r="X137" s="761"/>
      <c r="Y137" s="916"/>
      <c r="Z137" s="764"/>
      <c r="AA137" s="767"/>
      <c r="AB137" s="764"/>
      <c r="AC137" s="764"/>
      <c r="AD137" s="764"/>
    </row>
    <row r="138" spans="1:30" ht="9" customHeight="1">
      <c r="A138" s="763"/>
      <c r="B138" s="763"/>
      <c r="C138" s="761"/>
      <c r="D138" s="761"/>
      <c r="E138" s="761"/>
      <c r="F138" s="761"/>
      <c r="G138" s="761"/>
      <c r="H138" s="810"/>
      <c r="I138" s="810"/>
      <c r="J138" s="810"/>
      <c r="K138" s="810"/>
      <c r="L138" s="810"/>
      <c r="M138" s="761"/>
      <c r="N138" s="809"/>
      <c r="O138" s="874"/>
      <c r="P138" s="874"/>
      <c r="Q138" s="874"/>
      <c r="R138" s="874"/>
      <c r="S138" s="761"/>
      <c r="T138" s="761"/>
      <c r="U138" s="761"/>
      <c r="V138" s="761"/>
      <c r="W138" s="761"/>
      <c r="X138" s="761"/>
      <c r="Y138" s="916"/>
      <c r="Z138" s="764"/>
      <c r="AA138" s="767"/>
      <c r="AB138" s="764"/>
      <c r="AC138" s="764"/>
      <c r="AD138" s="764"/>
    </row>
    <row r="139" spans="1:30" ht="9" customHeight="1">
      <c r="A139" s="763"/>
      <c r="B139" s="763"/>
      <c r="C139" s="761"/>
      <c r="D139" s="761"/>
      <c r="E139" s="761"/>
      <c r="F139" s="761"/>
      <c r="G139" s="761"/>
      <c r="H139" s="810"/>
      <c r="I139" s="810"/>
      <c r="J139" s="810"/>
      <c r="K139" s="810"/>
      <c r="L139" s="810"/>
      <c r="M139" s="761"/>
      <c r="N139" s="809"/>
      <c r="O139" s="761"/>
      <c r="P139" s="761"/>
      <c r="Q139" s="761"/>
      <c r="R139" s="761"/>
      <c r="S139" s="761"/>
      <c r="T139" s="761"/>
      <c r="U139" s="761"/>
      <c r="V139" s="761"/>
      <c r="W139" s="761"/>
      <c r="X139" s="761"/>
      <c r="Y139" s="916"/>
      <c r="Z139" s="764"/>
      <c r="AA139" s="767"/>
      <c r="AB139" s="764"/>
      <c r="AC139" s="764"/>
      <c r="AD139" s="764"/>
    </row>
    <row r="140" spans="1:30" ht="9" customHeight="1">
      <c r="A140" s="763"/>
      <c r="B140" s="763"/>
      <c r="C140" s="761"/>
      <c r="D140" s="761"/>
      <c r="E140" s="761"/>
      <c r="F140" s="761"/>
      <c r="G140" s="761"/>
      <c r="H140" s="810"/>
      <c r="I140" s="810"/>
      <c r="J140" s="810"/>
      <c r="K140" s="810"/>
      <c r="L140" s="810"/>
      <c r="M140" s="761"/>
      <c r="N140" s="809"/>
      <c r="O140" s="761"/>
      <c r="P140" s="761"/>
      <c r="Q140" s="761"/>
      <c r="R140" s="761"/>
      <c r="S140" s="761"/>
      <c r="T140" s="761"/>
      <c r="U140" s="761"/>
      <c r="V140" s="761"/>
      <c r="W140" s="761"/>
      <c r="X140" s="761"/>
      <c r="Y140" s="916"/>
      <c r="Z140" s="764"/>
      <c r="AA140" s="767"/>
      <c r="AB140" s="764"/>
      <c r="AC140" s="764"/>
      <c r="AD140" s="764"/>
    </row>
    <row r="141" spans="1:30" ht="9" customHeight="1">
      <c r="A141" s="763"/>
      <c r="B141" s="763"/>
      <c r="C141" s="761"/>
      <c r="D141" s="761"/>
      <c r="E141" s="761"/>
      <c r="F141" s="761"/>
      <c r="G141" s="761"/>
      <c r="H141" s="810"/>
      <c r="I141" s="810"/>
      <c r="J141" s="810"/>
      <c r="K141" s="810"/>
      <c r="L141" s="810"/>
      <c r="M141" s="761"/>
      <c r="N141" s="809"/>
      <c r="O141" s="761"/>
      <c r="P141" s="761"/>
      <c r="Q141" s="761"/>
      <c r="R141" s="761"/>
      <c r="S141" s="761"/>
      <c r="T141" s="761"/>
      <c r="U141" s="761"/>
      <c r="V141" s="761"/>
      <c r="W141" s="761"/>
      <c r="X141" s="761"/>
      <c r="Y141" s="916"/>
      <c r="Z141" s="764"/>
      <c r="AA141" s="767"/>
      <c r="AB141" s="764"/>
      <c r="AC141" s="764"/>
      <c r="AD141" s="764"/>
    </row>
    <row r="142" spans="1:30" ht="9" customHeight="1">
      <c r="A142" s="763"/>
      <c r="B142" s="763"/>
      <c r="C142" s="761"/>
      <c r="D142" s="761"/>
      <c r="E142" s="761"/>
      <c r="F142" s="761"/>
      <c r="G142" s="761"/>
      <c r="H142" s="810"/>
      <c r="I142" s="810"/>
      <c r="J142" s="810"/>
      <c r="K142" s="810"/>
      <c r="L142" s="810"/>
      <c r="M142" s="761"/>
      <c r="N142" s="809"/>
      <c r="O142" s="761"/>
      <c r="P142" s="761"/>
      <c r="Q142" s="761"/>
      <c r="R142" s="761"/>
      <c r="S142" s="761"/>
      <c r="T142" s="761"/>
      <c r="U142" s="761"/>
      <c r="V142" s="761"/>
      <c r="W142" s="761"/>
      <c r="X142" s="761"/>
      <c r="Y142" s="916"/>
      <c r="Z142" s="764"/>
      <c r="AA142" s="767"/>
      <c r="AB142" s="764"/>
      <c r="AC142" s="764"/>
      <c r="AD142" s="764"/>
    </row>
    <row r="143" spans="1:30" ht="9" customHeight="1">
      <c r="A143" s="763"/>
      <c r="B143" s="763"/>
      <c r="C143" s="761"/>
      <c r="D143" s="761"/>
      <c r="E143" s="761"/>
      <c r="F143" s="761"/>
      <c r="G143" s="761"/>
      <c r="H143" s="810"/>
      <c r="I143" s="810"/>
      <c r="J143" s="810"/>
      <c r="K143" s="810"/>
      <c r="L143" s="810"/>
      <c r="M143" s="761"/>
      <c r="N143" s="809"/>
      <c r="O143" s="761"/>
      <c r="P143" s="761"/>
      <c r="Q143" s="761"/>
      <c r="R143" s="761"/>
      <c r="S143" s="761"/>
      <c r="T143" s="761"/>
      <c r="U143" s="761"/>
      <c r="V143" s="761"/>
      <c r="W143" s="761"/>
      <c r="X143" s="761"/>
      <c r="Y143" s="916"/>
      <c r="Z143" s="764"/>
      <c r="AA143" s="767"/>
      <c r="AB143" s="764"/>
      <c r="AC143" s="764"/>
      <c r="AD143" s="764"/>
    </row>
    <row r="144" spans="1:30" ht="9" customHeight="1">
      <c r="A144" s="763"/>
      <c r="B144" s="763"/>
      <c r="C144" s="761"/>
      <c r="D144" s="761"/>
      <c r="E144" s="761"/>
      <c r="F144" s="761"/>
      <c r="G144" s="761"/>
      <c r="H144" s="810"/>
      <c r="I144" s="810"/>
      <c r="J144" s="810"/>
      <c r="K144" s="810"/>
      <c r="L144" s="810"/>
      <c r="M144" s="761"/>
      <c r="N144" s="809"/>
      <c r="O144" s="761"/>
      <c r="P144" s="761"/>
      <c r="Q144" s="761"/>
      <c r="R144" s="761"/>
      <c r="S144" s="761"/>
      <c r="T144" s="761"/>
      <c r="U144" s="761"/>
      <c r="V144" s="761"/>
      <c r="W144" s="761"/>
      <c r="X144" s="761"/>
      <c r="Y144" s="916"/>
      <c r="Z144" s="764"/>
      <c r="AA144" s="767"/>
      <c r="AB144" s="764"/>
      <c r="AC144" s="764"/>
      <c r="AD144" s="764"/>
    </row>
    <row r="145" spans="1:30" ht="9" customHeight="1">
      <c r="A145" s="763"/>
      <c r="B145" s="763"/>
      <c r="C145" s="761"/>
      <c r="D145" s="761"/>
      <c r="E145" s="761"/>
      <c r="F145" s="761"/>
      <c r="G145" s="761"/>
      <c r="H145" s="810"/>
      <c r="I145" s="810"/>
      <c r="J145" s="810"/>
      <c r="K145" s="810"/>
      <c r="L145" s="810"/>
      <c r="M145" s="761"/>
      <c r="N145" s="809"/>
      <c r="O145" s="761"/>
      <c r="P145" s="761"/>
      <c r="Q145" s="761"/>
      <c r="R145" s="761"/>
      <c r="S145" s="761"/>
      <c r="T145" s="761"/>
      <c r="U145" s="761"/>
      <c r="V145" s="761"/>
      <c r="W145" s="761"/>
      <c r="X145" s="761"/>
      <c r="Y145" s="916"/>
      <c r="Z145" s="764"/>
      <c r="AA145" s="767"/>
      <c r="AB145" s="764"/>
      <c r="AC145" s="764"/>
      <c r="AD145" s="764"/>
    </row>
    <row r="146" spans="1:30" ht="9" customHeight="1">
      <c r="A146" s="763"/>
      <c r="B146" s="763"/>
      <c r="C146" s="761"/>
      <c r="D146" s="761"/>
      <c r="E146" s="761"/>
      <c r="F146" s="761"/>
      <c r="G146" s="761"/>
      <c r="H146" s="810"/>
      <c r="I146" s="810"/>
      <c r="J146" s="810"/>
      <c r="K146" s="810"/>
      <c r="L146" s="810"/>
      <c r="M146" s="761"/>
      <c r="N146" s="809"/>
      <c r="O146" s="761"/>
      <c r="P146" s="761"/>
      <c r="Q146" s="761"/>
      <c r="R146" s="761"/>
      <c r="S146" s="761"/>
      <c r="T146" s="761"/>
      <c r="U146" s="761"/>
      <c r="V146" s="761"/>
      <c r="W146" s="761"/>
      <c r="X146" s="761"/>
      <c r="Y146" s="916"/>
      <c r="Z146" s="764"/>
      <c r="AA146" s="767"/>
      <c r="AB146" s="764"/>
      <c r="AC146" s="764"/>
      <c r="AD146" s="764"/>
    </row>
    <row r="147" spans="1:30" ht="9" customHeight="1">
      <c r="A147" s="763"/>
      <c r="B147" s="763"/>
      <c r="C147" s="763"/>
      <c r="D147" s="763"/>
      <c r="E147" s="763"/>
      <c r="F147" s="763"/>
      <c r="G147" s="763"/>
      <c r="H147" s="763"/>
      <c r="I147" s="763"/>
      <c r="J147" s="763"/>
      <c r="K147" s="763"/>
      <c r="L147" s="763"/>
      <c r="M147" s="763"/>
      <c r="N147" s="763"/>
      <c r="O147" s="763"/>
      <c r="P147" s="763"/>
      <c r="Q147" s="763"/>
      <c r="R147" s="763"/>
      <c r="S147" s="763"/>
      <c r="T147" s="763"/>
      <c r="U147" s="763"/>
      <c r="V147" s="763"/>
      <c r="W147" s="763"/>
      <c r="X147" s="763"/>
      <c r="Y147" s="763"/>
      <c r="Z147" s="763"/>
      <c r="AA147" s="763"/>
      <c r="AB147" s="763"/>
      <c r="AC147" s="763"/>
      <c r="AD147" s="763"/>
    </row>
    <row r="148" spans="1:30" ht="90" customHeight="1">
      <c r="A148" s="763" t="s">
        <v>1077</v>
      </c>
      <c r="B148" s="763"/>
      <c r="C148" s="761" t="s">
        <v>1577</v>
      </c>
      <c r="D148" s="761" t="s">
        <v>967</v>
      </c>
      <c r="E148" s="761" t="s">
        <v>1079</v>
      </c>
      <c r="F148" s="761" t="s">
        <v>394</v>
      </c>
      <c r="G148" s="761"/>
      <c r="H148" s="761"/>
      <c r="I148" s="879"/>
      <c r="J148" s="879"/>
      <c r="K148" s="879"/>
      <c r="L148" s="879"/>
      <c r="M148" s="81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6"/>
      <c r="O148" s="761"/>
      <c r="P148" s="762"/>
      <c r="Q148" s="762"/>
      <c r="R148" s="762"/>
      <c r="S148" s="761"/>
      <c r="T148" s="761" t="s">
        <v>1578</v>
      </c>
      <c r="U148" s="76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62"/>
      <c r="W148" s="762"/>
      <c r="X148" s="761" t="s">
        <v>1579</v>
      </c>
      <c r="Y148" s="916"/>
      <c r="Z148" s="764"/>
      <c r="AA148" s="767"/>
      <c r="AB148" s="764"/>
      <c r="AC148" s="764"/>
      <c r="AD148" s="764"/>
    </row>
    <row r="149" spans="1:30" ht="9" customHeight="1">
      <c r="A149" s="763"/>
      <c r="B149" s="763"/>
      <c r="C149" s="763"/>
      <c r="D149" s="763"/>
      <c r="E149" s="763"/>
      <c r="F149" s="763"/>
      <c r="G149" s="763"/>
      <c r="H149" s="763"/>
      <c r="I149" s="763"/>
      <c r="J149" s="763"/>
      <c r="K149" s="763"/>
      <c r="L149" s="763"/>
      <c r="M149" s="763"/>
      <c r="N149" s="763"/>
      <c r="O149" s="763"/>
      <c r="P149" s="763"/>
      <c r="Q149" s="763"/>
      <c r="R149" s="763"/>
      <c r="S149" s="763"/>
      <c r="T149" s="763"/>
      <c r="U149" s="763"/>
      <c r="V149" s="763"/>
      <c r="W149" s="763"/>
      <c r="X149" s="763"/>
      <c r="Y149" s="763"/>
      <c r="Z149" s="763"/>
      <c r="AA149" s="763"/>
      <c r="AB149" s="763"/>
      <c r="AC149" s="763"/>
      <c r="AD149" s="763"/>
    </row>
    <row r="150" spans="1:30" ht="9" customHeight="1">
      <c r="A150" s="763" t="s">
        <v>1083</v>
      </c>
      <c r="B150" s="763"/>
      <c r="C150" s="761"/>
      <c r="D150" s="761"/>
      <c r="E150" s="761"/>
      <c r="F150" s="761"/>
      <c r="G150" s="761"/>
      <c r="H150" s="761"/>
      <c r="I150" s="761"/>
      <c r="J150" s="761"/>
      <c r="K150" s="761"/>
      <c r="L150" s="761"/>
      <c r="M150" s="761"/>
      <c r="N150" s="761"/>
      <c r="O150" s="761"/>
      <c r="P150" s="761"/>
      <c r="Q150" s="761"/>
      <c r="R150" s="761"/>
      <c r="S150" s="761"/>
      <c r="T150" s="761"/>
      <c r="U150" s="761"/>
      <c r="V150" s="761"/>
      <c r="W150" s="761"/>
      <c r="X150" s="761"/>
      <c r="Y150" s="916"/>
      <c r="Z150" s="764"/>
      <c r="AA150" s="767"/>
      <c r="AB150" s="764"/>
      <c r="AC150" s="764"/>
      <c r="AD150" s="764"/>
    </row>
    <row r="151" spans="1:30" ht="9" customHeight="1">
      <c r="A151" s="763"/>
      <c r="B151" s="763"/>
      <c r="C151" s="763"/>
      <c r="D151" s="763"/>
      <c r="E151" s="763"/>
      <c r="F151" s="763"/>
      <c r="G151" s="763"/>
      <c r="H151" s="763"/>
      <c r="I151" s="763"/>
      <c r="J151" s="763"/>
      <c r="K151" s="763"/>
      <c r="L151" s="763"/>
      <c r="M151" s="763"/>
      <c r="N151" s="763"/>
      <c r="O151" s="763"/>
      <c r="P151" s="763"/>
      <c r="Q151" s="763"/>
      <c r="R151" s="763"/>
      <c r="S151" s="763"/>
      <c r="T151" s="763"/>
      <c r="U151" s="763"/>
      <c r="V151" s="763"/>
      <c r="W151" s="763"/>
      <c r="X151" s="763"/>
      <c r="Y151" s="763"/>
      <c r="Z151" s="763"/>
      <c r="AA151" s="763"/>
      <c r="AB151" s="763"/>
      <c r="AC151" s="763"/>
      <c r="AD151" s="763"/>
    </row>
    <row r="152" spans="1:30" ht="9" customHeight="1">
      <c r="A152" s="763" t="s">
        <v>1088</v>
      </c>
      <c r="B152" s="763"/>
      <c r="C152" s="761"/>
      <c r="D152" s="761"/>
      <c r="E152" s="761"/>
      <c r="F152" s="761"/>
      <c r="G152" s="761"/>
      <c r="H152" s="761"/>
      <c r="I152" s="761"/>
      <c r="J152" s="761"/>
      <c r="K152" s="761"/>
      <c r="L152" s="761"/>
      <c r="M152" s="761"/>
      <c r="N152" s="761"/>
      <c r="O152" s="761"/>
      <c r="P152" s="761"/>
      <c r="Q152" s="761"/>
      <c r="R152" s="761"/>
      <c r="S152" s="761"/>
      <c r="T152" s="761"/>
      <c r="U152" s="761"/>
      <c r="V152" s="761"/>
      <c r="W152" s="761"/>
      <c r="X152" s="761"/>
      <c r="Y152" s="916"/>
      <c r="Z152" s="764"/>
      <c r="AA152" s="767"/>
      <c r="AB152" s="764"/>
      <c r="AC152" s="764"/>
      <c r="AD152" s="764"/>
    </row>
    <row r="153" spans="1:30" ht="9" customHeight="1">
      <c r="A153" s="763"/>
      <c r="B153" s="763"/>
      <c r="C153" s="763"/>
      <c r="D153" s="763"/>
      <c r="E153" s="763"/>
      <c r="F153" s="763"/>
      <c r="G153" s="763"/>
      <c r="H153" s="763"/>
      <c r="I153" s="763"/>
      <c r="J153" s="763"/>
      <c r="K153" s="763"/>
      <c r="L153" s="763"/>
      <c r="M153" s="763"/>
      <c r="N153" s="763"/>
      <c r="O153" s="763"/>
      <c r="P153" s="763"/>
      <c r="Q153" s="763"/>
      <c r="R153" s="763"/>
      <c r="S153" s="763"/>
      <c r="T153" s="763"/>
      <c r="U153" s="763"/>
      <c r="V153" s="763"/>
      <c r="W153" s="763"/>
      <c r="X153" s="763"/>
      <c r="Y153" s="763"/>
      <c r="Z153" s="763"/>
      <c r="AA153" s="763"/>
      <c r="AB153" s="763"/>
      <c r="AC153" s="763"/>
      <c r="AD153" s="763"/>
    </row>
    <row r="154" spans="1:30" ht="9" customHeight="1">
      <c r="A154" s="763" t="s">
        <v>1093</v>
      </c>
      <c r="B154" s="763"/>
      <c r="C154" s="761"/>
      <c r="D154" s="761"/>
      <c r="E154" s="761"/>
      <c r="F154" s="761"/>
      <c r="G154" s="761"/>
      <c r="H154" s="761"/>
      <c r="I154" s="761"/>
      <c r="J154" s="761"/>
      <c r="K154" s="761"/>
      <c r="L154" s="761"/>
      <c r="M154" s="761"/>
      <c r="N154" s="761"/>
      <c r="O154" s="761"/>
      <c r="P154" s="761"/>
      <c r="Q154" s="761"/>
      <c r="R154" s="761"/>
      <c r="S154" s="761"/>
      <c r="T154" s="761"/>
      <c r="U154" s="761"/>
      <c r="V154" s="761"/>
      <c r="W154" s="761"/>
      <c r="X154" s="761"/>
      <c r="Y154" s="916"/>
      <c r="Z154" s="764"/>
      <c r="AA154" s="767"/>
      <c r="AB154" s="764"/>
      <c r="AC154" s="764"/>
      <c r="AD154" s="76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4" hidden="1" customWidth="1"/>
    <col min="9" max="9" width="3.69921875" style="1794" customWidth="1"/>
    <col min="10" max="11" width="3.69921875" style="265" customWidth="1"/>
    <col min="12" max="12" width="12.69921875" style="1795" customWidth="1"/>
    <col min="13" max="13" width="32" style="1560" customWidth="1"/>
    <col min="14" max="14" width="1.69921875" style="1560" customWidth="1"/>
    <col min="15" max="18" width="24.69921875" style="1560" customWidth="1"/>
    <col min="19" max="19" width="11.69921875" style="1560" customWidth="1"/>
    <col min="20" max="20" width="3.69921875" style="1560" customWidth="1"/>
    <col min="21" max="21" width="11.69921875" style="1560" customWidth="1"/>
    <col min="22" max="22" width="8.59765625" style="1560" customWidth="1"/>
    <col min="23" max="23" width="4.69921875" style="1560" customWidth="1"/>
    <col min="24" max="24" width="115.69921875" style="1560" customWidth="1"/>
    <col min="25" max="26" width="10.59765625" style="1567"/>
    <col min="27" max="27" width="11.09765625" style="1567" customWidth="1"/>
    <col min="28" max="29" width="10.59765625" style="1567"/>
  </cols>
  <sheetData>
    <row r="1" spans="1:29" ht="14.25" hidden="1" customHeight="1">
      <c r="R1" s="249"/>
      <c r="S1" s="249"/>
    </row>
    <row r="2" spans="1:29" ht="14.25" hidden="1" customHeight="1">
      <c r="V2" s="249"/>
    </row>
    <row r="3" spans="1:29" ht="14.25" hidden="1" customHeight="1"/>
    <row r="4" spans="1:29" ht="14.25" customHeight="1">
      <c r="J4" s="300"/>
      <c r="K4" s="300"/>
      <c r="L4" s="1205"/>
      <c r="M4" s="286"/>
      <c r="N4" s="286"/>
      <c r="O4" s="435"/>
      <c r="P4" s="435"/>
      <c r="Q4" s="435"/>
      <c r="R4" s="435"/>
      <c r="S4" s="435"/>
      <c r="T4" s="435"/>
      <c r="U4" s="435"/>
      <c r="V4" s="435"/>
    </row>
    <row r="5" spans="1:29" ht="64.5" customHeight="1">
      <c r="J5" s="300"/>
      <c r="K5" s="300"/>
      <c r="L5" s="1893" t="s">
        <v>1580</v>
      </c>
      <c r="M5" s="1893"/>
      <c r="N5" s="1893"/>
      <c r="O5" s="1893"/>
      <c r="P5" s="1893"/>
      <c r="Q5" s="1893"/>
      <c r="R5" s="1893"/>
      <c r="S5" s="1893"/>
      <c r="T5" s="1893"/>
      <c r="U5" s="1893"/>
      <c r="V5" s="1162"/>
    </row>
    <row r="6" spans="1:29" ht="14.25" customHeight="1">
      <c r="J6" s="300"/>
      <c r="K6" s="300"/>
      <c r="L6" s="1916" t="str">
        <f>IF(org=0,"Не определено",org)</f>
        <v>НАО "СВЕЗА Мантурово"</v>
      </c>
      <c r="M6" s="1916"/>
      <c r="N6" s="1916"/>
      <c r="O6" s="1916"/>
      <c r="P6" s="1916"/>
      <c r="Q6" s="1916"/>
      <c r="R6" s="1916"/>
      <c r="S6" s="1916"/>
      <c r="T6" s="1916"/>
      <c r="U6" s="1916"/>
      <c r="V6" s="1162"/>
    </row>
    <row r="7" spans="1:29" ht="14.25" customHeight="1">
      <c r="J7" s="300"/>
      <c r="K7" s="300"/>
      <c r="L7" s="1205"/>
      <c r="M7" s="286"/>
      <c r="N7" s="286"/>
      <c r="O7" s="242"/>
      <c r="P7" s="242"/>
      <c r="Q7" s="242"/>
      <c r="R7" s="242"/>
      <c r="S7" s="242"/>
      <c r="T7" s="242"/>
      <c r="U7" s="242"/>
      <c r="V7" s="242"/>
      <c r="W7" s="435"/>
    </row>
    <row r="8" spans="1:29" s="1781" customFormat="1" ht="45" customHeight="1">
      <c r="A8" s="1294"/>
      <c r="B8" s="1294"/>
      <c r="C8" s="1294"/>
      <c r="D8" s="1294"/>
      <c r="E8" s="1294"/>
      <c r="F8" s="1294"/>
      <c r="G8" s="1294"/>
      <c r="H8" s="1294"/>
      <c r="L8" s="1206"/>
      <c r="M8" s="209" t="s">
        <v>39</v>
      </c>
      <c r="N8" s="218"/>
      <c r="O8" s="2035" t="str">
        <f>IF(TITLE_NAME_OR_PR_CHANGE="",IF(TITLE_NAME_OR_PR="","",TITLE_NAME_OR_PR),TITLE_NAME_OR_PR_CHANGE)</f>
        <v/>
      </c>
      <c r="P8" s="2035"/>
      <c r="Q8" s="2035"/>
      <c r="R8" s="2035"/>
      <c r="S8" s="2035"/>
      <c r="T8" s="2035"/>
      <c r="U8" s="2035"/>
      <c r="V8" s="248"/>
      <c r="W8" s="248"/>
      <c r="X8" s="196"/>
      <c r="Y8" s="292"/>
      <c r="Z8" s="292"/>
      <c r="AA8" s="292"/>
      <c r="AB8" s="292"/>
      <c r="AC8" s="292"/>
    </row>
    <row r="9" spans="1:29" s="1781" customFormat="1" ht="22.5" customHeight="1">
      <c r="A9" s="1294"/>
      <c r="B9" s="1294"/>
      <c r="C9" s="1294"/>
      <c r="D9" s="1294"/>
      <c r="E9" s="1294"/>
      <c r="F9" s="1294"/>
      <c r="G9" s="1294"/>
      <c r="H9" s="1294"/>
      <c r="L9" s="1206"/>
      <c r="M9" s="209" t="s">
        <v>495</v>
      </c>
      <c r="N9" s="218"/>
      <c r="O9" s="2035" t="str">
        <f>IF(TITLE_DATE_CHANGE_PERIOD="",IF(TITLE_DATE_PR="","",TITLE_DATE_PR),TITLE_DATE_CHANGE_PERIOD)</f>
        <v/>
      </c>
      <c r="P9" s="2035"/>
      <c r="Q9" s="2035"/>
      <c r="R9" s="2035"/>
      <c r="S9" s="2035"/>
      <c r="T9" s="2035"/>
      <c r="U9" s="2035"/>
      <c r="V9" s="248"/>
      <c r="W9" s="248"/>
      <c r="X9" s="196"/>
      <c r="Y9" s="292"/>
      <c r="Z9" s="292"/>
      <c r="AA9" s="292"/>
      <c r="AB9" s="292"/>
      <c r="AC9" s="292"/>
    </row>
    <row r="10" spans="1:29" s="1781" customFormat="1" ht="22.5" customHeight="1">
      <c r="A10" s="1294"/>
      <c r="B10" s="1294"/>
      <c r="C10" s="1294"/>
      <c r="D10" s="1294"/>
      <c r="E10" s="1294"/>
      <c r="F10" s="1294"/>
      <c r="G10" s="1294"/>
      <c r="H10" s="1294"/>
      <c r="L10" s="1170"/>
      <c r="M10" s="209" t="s">
        <v>496</v>
      </c>
      <c r="N10" s="218"/>
      <c r="O10" s="2035" t="str">
        <f>IF(TITLE_NUMBER_PR_CHANGE="",IF(TITLE_NUMBER_PR="","",TITLE_NUMBER_PR),TITLE_NUMBER_PR_CHANGE)</f>
        <v/>
      </c>
      <c r="P10" s="2035"/>
      <c r="Q10" s="2035"/>
      <c r="R10" s="2035"/>
      <c r="S10" s="2035"/>
      <c r="T10" s="2035"/>
      <c r="U10" s="2035"/>
      <c r="V10" s="248"/>
      <c r="W10" s="248"/>
      <c r="X10" s="196"/>
      <c r="Y10" s="292"/>
      <c r="Z10" s="292"/>
      <c r="AA10" s="292"/>
      <c r="AB10" s="292"/>
      <c r="AC10" s="292"/>
    </row>
    <row r="11" spans="1:29" s="1781" customFormat="1" ht="22.5" customHeight="1">
      <c r="A11" s="1294"/>
      <c r="B11" s="1294"/>
      <c r="C11" s="1294"/>
      <c r="D11" s="1294"/>
      <c r="E11" s="1294"/>
      <c r="F11" s="1294"/>
      <c r="G11" s="1294"/>
      <c r="H11" s="1294"/>
      <c r="L11" s="1170"/>
      <c r="M11" s="209" t="s">
        <v>40</v>
      </c>
      <c r="N11" s="218"/>
      <c r="O11" s="2035" t="str">
        <f>IF(TITLE_IST_PUB_CHANGE="",IF(TITLE_IST_PUB="","",TITLE_IST_PUB),TITLE_IST_PUB_CHANGE)</f>
        <v/>
      </c>
      <c r="P11" s="2035"/>
      <c r="Q11" s="2035"/>
      <c r="R11" s="2035"/>
      <c r="S11" s="2035"/>
      <c r="T11" s="2035"/>
      <c r="U11" s="2035"/>
      <c r="V11" s="248"/>
      <c r="W11" s="248"/>
      <c r="X11" s="196"/>
      <c r="Y11" s="292"/>
      <c r="Z11" s="292"/>
      <c r="AA11" s="292"/>
      <c r="AB11" s="292"/>
      <c r="AC11" s="292"/>
    </row>
    <row r="12" spans="1:29" s="1781" customFormat="1" ht="11.25" hidden="1" customHeight="1">
      <c r="A12" s="1294"/>
      <c r="B12" s="1294"/>
      <c r="C12" s="1294"/>
      <c r="D12" s="1294"/>
      <c r="E12" s="1294"/>
      <c r="F12" s="1294"/>
      <c r="G12" s="1294"/>
      <c r="H12" s="1294"/>
      <c r="L12" s="2117"/>
      <c r="M12" s="2117"/>
      <c r="N12" s="1216"/>
      <c r="O12" s="248"/>
      <c r="P12" s="248"/>
      <c r="Q12" s="248"/>
      <c r="R12" s="248"/>
      <c r="S12" s="248"/>
      <c r="T12" s="248"/>
      <c r="U12" s="248"/>
      <c r="V12" s="194" t="s">
        <v>499</v>
      </c>
      <c r="Y12" s="292"/>
      <c r="Z12" s="292"/>
      <c r="AA12" s="292"/>
      <c r="AB12" s="292"/>
      <c r="AC12" s="292"/>
    </row>
    <row r="13" spans="1:29" ht="14.25" customHeight="1">
      <c r="J13" s="300"/>
      <c r="K13" s="300"/>
      <c r="L13" s="1205"/>
      <c r="M13" s="286"/>
      <c r="N13" s="1163"/>
      <c r="O13" s="2053"/>
      <c r="P13" s="2053"/>
      <c r="Q13" s="2053"/>
      <c r="R13" s="2053"/>
      <c r="S13" s="2053"/>
      <c r="T13" s="2053"/>
      <c r="U13" s="2053"/>
      <c r="V13" s="2053"/>
    </row>
    <row r="14" spans="1:29" ht="14.25" customHeight="1">
      <c r="J14" s="300"/>
      <c r="K14" s="300"/>
      <c r="L14" s="1840" t="s">
        <v>282</v>
      </c>
      <c r="M14" s="1840"/>
      <c r="N14" s="1840"/>
      <c r="O14" s="1840"/>
      <c r="P14" s="1840"/>
      <c r="Q14" s="1840"/>
      <c r="R14" s="1840"/>
      <c r="S14" s="1840"/>
      <c r="T14" s="1840"/>
      <c r="U14" s="1840"/>
      <c r="V14" s="1840"/>
      <c r="W14" s="1840"/>
      <c r="X14" s="1840" t="s">
        <v>283</v>
      </c>
    </row>
    <row r="15" spans="1:29" ht="14.25" customHeight="1">
      <c r="J15" s="300"/>
      <c r="K15" s="300"/>
      <c r="L15" s="2054" t="s">
        <v>87</v>
      </c>
      <c r="M15" s="1925" t="s">
        <v>500</v>
      </c>
      <c r="N15" s="215"/>
      <c r="O15" s="2055" t="s">
        <v>1581</v>
      </c>
      <c r="P15" s="2056"/>
      <c r="Q15" s="2056"/>
      <c r="R15" s="2056"/>
      <c r="S15" s="2056"/>
      <c r="T15" s="2056"/>
      <c r="U15" s="2057"/>
      <c r="V15" s="2058" t="s">
        <v>502</v>
      </c>
      <c r="W15" s="2061" t="s">
        <v>1582</v>
      </c>
      <c r="X15" s="1840"/>
    </row>
    <row r="16" spans="1:29" ht="33.75" customHeight="1">
      <c r="J16" s="300"/>
      <c r="K16" s="300"/>
      <c r="L16" s="2054"/>
      <c r="M16" s="1925"/>
      <c r="N16" s="947"/>
      <c r="O16" s="1894" t="s">
        <v>505</v>
      </c>
      <c r="P16" s="1894" t="s">
        <v>506</v>
      </c>
      <c r="Q16" s="1822" t="s">
        <v>507</v>
      </c>
      <c r="R16" s="1821"/>
      <c r="S16" s="1822" t="s">
        <v>526</v>
      </c>
      <c r="T16" s="1827"/>
      <c r="U16" s="1821"/>
      <c r="V16" s="2059"/>
      <c r="W16" s="2062"/>
      <c r="X16" s="1840"/>
    </row>
    <row r="17" spans="1:29" ht="33.75" customHeight="1">
      <c r="A17" s="1296" t="s">
        <v>130</v>
      </c>
      <c r="B17" s="1296" t="s">
        <v>131</v>
      </c>
      <c r="C17" s="1296" t="s">
        <v>132</v>
      </c>
      <c r="D17" s="1296" t="s">
        <v>133</v>
      </c>
      <c r="E17" s="1296"/>
      <c r="J17" s="300"/>
      <c r="K17" s="300"/>
      <c r="L17" s="2054"/>
      <c r="M17" s="1925"/>
      <c r="N17" s="216"/>
      <c r="O17" s="1950"/>
      <c r="P17" s="1950"/>
      <c r="Q17" s="1138" t="s">
        <v>516</v>
      </c>
      <c r="R17" s="1138" t="s">
        <v>517</v>
      </c>
      <c r="S17" s="1221" t="s">
        <v>518</v>
      </c>
      <c r="T17" s="1931" t="s">
        <v>519</v>
      </c>
      <c r="U17" s="1945"/>
      <c r="V17" s="2060"/>
      <c r="W17" s="2063"/>
      <c r="X17" s="1840"/>
    </row>
    <row r="18" spans="1:29" s="1566" customFormat="1" ht="11.25" customHeight="1">
      <c r="A18" s="1296"/>
      <c r="B18" s="1296"/>
      <c r="C18" s="1296"/>
      <c r="D18" s="1296"/>
      <c r="E18" s="1296"/>
      <c r="F18" s="1288"/>
      <c r="G18" s="1288"/>
      <c r="H18" s="1288"/>
      <c r="I18" s="1165"/>
      <c r="J18" s="1166"/>
      <c r="K18" s="1181">
        <v>1</v>
      </c>
      <c r="L18" s="1207" t="s">
        <v>105</v>
      </c>
      <c r="M18" s="1182" t="s">
        <v>106</v>
      </c>
      <c r="N18" s="1164" t="str">
        <f ca="1">OFFSET(N18,0,-1)</f>
        <v>2</v>
      </c>
      <c r="O18" s="1218">
        <f ca="1">OFFSET(O18,0,-1)+1</f>
        <v>3</v>
      </c>
      <c r="P18" s="1218"/>
      <c r="Q18" s="1218">
        <f ca="1">OFFSET(Q18,0,-1)+1</f>
        <v>1</v>
      </c>
      <c r="R18" s="1218">
        <f ca="1">OFFSET(R18,0,-1)+1</f>
        <v>2</v>
      </c>
      <c r="S18" s="1218">
        <f ca="1">OFFSET(S18,0,-1)+1</f>
        <v>3</v>
      </c>
      <c r="T18" s="2052">
        <f ca="1">OFFSET(T18,0,-1)+1</f>
        <v>4</v>
      </c>
      <c r="U18" s="2052"/>
      <c r="V18" s="1218">
        <f ca="1">OFFSET(V18,0,-2)+1</f>
        <v>5</v>
      </c>
      <c r="W18" s="1164">
        <f ca="1">OFFSET(W18,0,-1)</f>
        <v>5</v>
      </c>
      <c r="X18" s="1218">
        <f ca="1">OFFSET(X18,0,-1)+1</f>
        <v>6</v>
      </c>
      <c r="Y18" s="437"/>
      <c r="Z18" s="437"/>
      <c r="AA18" s="437"/>
      <c r="AB18" s="437"/>
      <c r="AC18" s="437"/>
    </row>
    <row r="19" spans="1:29" ht="21" customHeight="1">
      <c r="A19" s="1289" t="s">
        <v>164</v>
      </c>
      <c r="B19" s="1289" t="s">
        <v>165</v>
      </c>
      <c r="C19" s="1289" t="s">
        <v>166</v>
      </c>
      <c r="D19" s="1289" t="s">
        <v>167</v>
      </c>
      <c r="E19" s="1289"/>
      <c r="F19" s="1291"/>
      <c r="G19" s="1291"/>
      <c r="H19" s="1291"/>
      <c r="I19" s="282"/>
      <c r="J19" s="281"/>
      <c r="K19" s="276"/>
      <c r="L19" s="1222">
        <f>INDEX(PT_DIFFERENTIATION_NUM_NTAR,MATCH(A19,PT_DIFFERENTIATION_NTAR_ID,0))</f>
        <v>0</v>
      </c>
      <c r="M19" s="212" t="s">
        <v>119</v>
      </c>
      <c r="N19" s="214"/>
      <c r="O19" s="2112" t="str">
        <f>INDEX(PT_DIFFERENTIATION_NTAR,MATCH(A19,PT_DIFFERENTIATION_NTAR_ID,0))</f>
        <v/>
      </c>
      <c r="P19" s="2112"/>
      <c r="Q19" s="2112"/>
      <c r="R19" s="2112"/>
      <c r="S19" s="2112"/>
      <c r="T19" s="2112"/>
      <c r="U19" s="2112"/>
      <c r="V19" s="2112"/>
      <c r="W19" s="2112"/>
      <c r="X19" s="1187" t="s">
        <v>471</v>
      </c>
      <c r="Z19" s="426"/>
      <c r="AA19" s="426" t="str">
        <f t="shared" ref="AA19:AA32" si="0">IF(M19="","",M19)</f>
        <v>Наименование тарифа</v>
      </c>
      <c r="AB19" s="426"/>
      <c r="AC19" s="426"/>
    </row>
    <row r="20" spans="1:29" ht="21" customHeight="1">
      <c r="A20" s="1289" t="s">
        <v>164</v>
      </c>
      <c r="B20" s="1289" t="s">
        <v>165</v>
      </c>
      <c r="C20" s="1289" t="s">
        <v>166</v>
      </c>
      <c r="D20" s="1289" t="s">
        <v>167</v>
      </c>
      <c r="E20" s="1289"/>
      <c r="F20" s="1291"/>
      <c r="G20" s="1291"/>
      <c r="H20" s="1291"/>
      <c r="I20" s="1219"/>
      <c r="J20" s="273"/>
      <c r="K20" s="274"/>
      <c r="L20" s="1222" t="str">
        <f>INDEX(PT_DIFFERENTIATION_NUM_TER,MATCH(B19,PT_DIFFERENTIATION_TER_ID,0))</f>
        <v>.</v>
      </c>
      <c r="M20" s="224" t="s">
        <v>472</v>
      </c>
      <c r="N20" s="214"/>
      <c r="O20" s="2112" t="str">
        <f>INDEX(PT_DIFFERENTIATION_TER,MATCH(B19,PT_DIFFERENTIATION_TER_ID,0))</f>
        <v/>
      </c>
      <c r="P20" s="2112"/>
      <c r="Q20" s="2112"/>
      <c r="R20" s="2112"/>
      <c r="S20" s="2112"/>
      <c r="T20" s="2112"/>
      <c r="U20" s="2112"/>
      <c r="V20" s="2112"/>
      <c r="W20" s="2112"/>
      <c r="X20" s="1187" t="s">
        <v>473</v>
      </c>
      <c r="Z20" s="426"/>
      <c r="AA20" s="426" t="str">
        <f t="shared" si="0"/>
        <v>Территория действия тарифа</v>
      </c>
      <c r="AB20" s="426"/>
      <c r="AC20" s="426"/>
    </row>
    <row r="21" spans="1:29" ht="22.5" customHeight="1">
      <c r="A21" s="1289" t="s">
        <v>164</v>
      </c>
      <c r="B21" s="1289" t="s">
        <v>165</v>
      </c>
      <c r="C21" s="1289" t="s">
        <v>166</v>
      </c>
      <c r="D21" s="1289" t="s">
        <v>167</v>
      </c>
      <c r="E21" s="1289"/>
      <c r="F21" s="1291"/>
      <c r="G21" s="1291"/>
      <c r="H21" s="1291"/>
      <c r="I21" s="275"/>
      <c r="J21" s="273"/>
      <c r="K21" s="274"/>
      <c r="L21" s="1222" t="str">
        <f>INDEX(PT_DIFFERENTIATION_NUM_CS,MATCH(C19,PT_DIFFERENTIATION_CS_ID,0))</f>
        <v>..</v>
      </c>
      <c r="M21" s="225" t="s">
        <v>474</v>
      </c>
      <c r="N21" s="214"/>
      <c r="O21" s="2112" t="str">
        <f>INDEX(PT_DIFFERENTIATION_CS,MATCH(C19,PT_DIFFERENTIATION_CS_ID,0))</f>
        <v/>
      </c>
      <c r="P21" s="2112"/>
      <c r="Q21" s="2112"/>
      <c r="R21" s="2112"/>
      <c r="S21" s="2112"/>
      <c r="T21" s="2112"/>
      <c r="U21" s="2112"/>
      <c r="V21" s="2112"/>
      <c r="W21" s="2112"/>
      <c r="X21" s="1187" t="s">
        <v>475</v>
      </c>
      <c r="Z21" s="426"/>
      <c r="AA21" s="426" t="str">
        <f t="shared" si="0"/>
        <v xml:space="preserve">Наименование системы теплоснабжения </v>
      </c>
      <c r="AB21" s="426"/>
      <c r="AC21" s="426"/>
    </row>
    <row r="22" spans="1:29" ht="21" customHeight="1">
      <c r="A22" s="1289" t="s">
        <v>164</v>
      </c>
      <c r="B22" s="1289" t="s">
        <v>165</v>
      </c>
      <c r="C22" s="1289" t="s">
        <v>166</v>
      </c>
      <c r="D22" s="1289" t="s">
        <v>167</v>
      </c>
      <c r="E22" s="1289"/>
      <c r="F22" s="1291"/>
      <c r="G22" s="1291"/>
      <c r="H22" s="1291"/>
      <c r="I22" s="275"/>
      <c r="J22" s="273"/>
      <c r="K22" s="274"/>
      <c r="L22" s="1222" t="str">
        <f>INDEX(PT_DIFFERENTIATION_NUM_IST_TE,MATCH(D19,PT_DIFFERENTIATION_IST_TE_ID,0))</f>
        <v>...</v>
      </c>
      <c r="M22" s="226" t="s">
        <v>476</v>
      </c>
      <c r="N22" s="214"/>
      <c r="O22" s="2112" t="str">
        <f>INDEX(PT_DIFFERENTIATION_IST_TE,MATCH(D19,PT_DIFFERENTIATION_IST_TE_ID,0))</f>
        <v/>
      </c>
      <c r="P22" s="2112"/>
      <c r="Q22" s="2112"/>
      <c r="R22" s="2112"/>
      <c r="S22" s="2112"/>
      <c r="T22" s="2112"/>
      <c r="U22" s="2112"/>
      <c r="V22" s="2112"/>
      <c r="W22" s="2112"/>
      <c r="X22" s="1187" t="s">
        <v>477</v>
      </c>
      <c r="Z22" s="426"/>
      <c r="AA22" s="426" t="str">
        <f t="shared" si="0"/>
        <v xml:space="preserve">Источник тепловой энергии  </v>
      </c>
      <c r="AB22" s="426"/>
      <c r="AC22" s="426"/>
    </row>
    <row r="23" spans="1:29" ht="94.5" customHeight="1">
      <c r="A23" s="1289" t="s">
        <v>164</v>
      </c>
      <c r="B23" s="1289" t="s">
        <v>165</v>
      </c>
      <c r="C23" s="1289" t="s">
        <v>166</v>
      </c>
      <c r="D23" s="1289" t="s">
        <v>167</v>
      </c>
      <c r="E23" s="1289"/>
      <c r="F23" s="1943" t="str">
        <f>L22&amp;".1"</f>
        <v>....1</v>
      </c>
      <c r="I23" s="1961">
        <v>1</v>
      </c>
      <c r="J23" s="1220"/>
      <c r="K23" s="277"/>
      <c r="L23" s="1222" t="str">
        <f>$F$23</f>
        <v>....1</v>
      </c>
      <c r="M23" s="200" t="s">
        <v>479</v>
      </c>
      <c r="N23" s="214"/>
      <c r="O23" s="2113"/>
      <c r="P23" s="2113"/>
      <c r="Q23" s="2113"/>
      <c r="R23" s="2113"/>
      <c r="S23" s="2113"/>
      <c r="T23" s="2113"/>
      <c r="U23" s="2113"/>
      <c r="V23" s="2113"/>
      <c r="W23" s="2113"/>
      <c r="X23" s="1187" t="s">
        <v>480</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289" t="s">
        <v>164</v>
      </c>
      <c r="B24" s="1289" t="s">
        <v>165</v>
      </c>
      <c r="C24" s="1289" t="s">
        <v>166</v>
      </c>
      <c r="D24" s="1289" t="s">
        <v>167</v>
      </c>
      <c r="E24" s="1289"/>
      <c r="F24" s="1943"/>
      <c r="G24" s="1943" t="str">
        <f>F23&amp;".1"</f>
        <v>....1.1</v>
      </c>
      <c r="I24" s="1961"/>
      <c r="J24" s="1961">
        <v>1</v>
      </c>
      <c r="K24" s="278"/>
      <c r="L24" s="1222" t="str">
        <f>$G$24</f>
        <v>....1.1</v>
      </c>
      <c r="M24" s="201" t="s">
        <v>482</v>
      </c>
      <c r="N24" s="214"/>
      <c r="O24" s="2114"/>
      <c r="P24" s="2115"/>
      <c r="Q24" s="2115"/>
      <c r="R24" s="2115"/>
      <c r="S24" s="2115"/>
      <c r="T24" s="2115"/>
      <c r="U24" s="2115"/>
      <c r="V24" s="2115"/>
      <c r="W24" s="2116"/>
      <c r="X24" s="1187" t="s">
        <v>483</v>
      </c>
      <c r="Z24" s="426"/>
      <c r="AA24" s="426" t="str">
        <f t="shared" si="0"/>
        <v>Группа потребителей</v>
      </c>
      <c r="AB24" s="426"/>
      <c r="AC24" s="426"/>
    </row>
    <row r="25" spans="1:29" ht="11.25" customHeight="1">
      <c r="A25" s="1289" t="s">
        <v>164</v>
      </c>
      <c r="B25" s="1289" t="s">
        <v>165</v>
      </c>
      <c r="C25" s="1289" t="s">
        <v>166</v>
      </c>
      <c r="D25" s="1289" t="s">
        <v>167</v>
      </c>
      <c r="E25" s="1289"/>
      <c r="F25" s="1943"/>
      <c r="G25" s="1943"/>
      <c r="H25" s="1943" t="str">
        <f>G24&amp;".1"</f>
        <v>....1.1.1</v>
      </c>
      <c r="I25" s="1961"/>
      <c r="J25" s="1961"/>
      <c r="K25" s="278">
        <v>1</v>
      </c>
      <c r="L25" s="1222" t="str">
        <f>$H$25</f>
        <v>....1.1.1</v>
      </c>
      <c r="M25" s="1188"/>
      <c r="N25" s="214"/>
      <c r="O25" s="669"/>
      <c r="P25" s="246"/>
      <c r="Q25" s="669"/>
      <c r="R25" s="1186"/>
      <c r="S25" s="2046"/>
      <c r="T25" s="1850" t="s">
        <v>58</v>
      </c>
      <c r="U25" s="2046"/>
      <c r="V25" s="1850" t="s">
        <v>56</v>
      </c>
      <c r="W25" s="246"/>
      <c r="X25" s="2064" t="s">
        <v>485</v>
      </c>
      <c r="Y25" s="437" t="e">
        <f ca="1">STRCHECKDATE(O26:W26)</f>
        <v>#NAME?</v>
      </c>
      <c r="Z25" s="426"/>
      <c r="AA25" s="426" t="str">
        <f t="shared" si="0"/>
        <v/>
      </c>
      <c r="AB25" s="426"/>
      <c r="AC25" s="426"/>
    </row>
    <row r="26" spans="1:29" ht="11.25" customHeight="1">
      <c r="A26" s="1289" t="s">
        <v>164</v>
      </c>
      <c r="B26" s="1289" t="s">
        <v>165</v>
      </c>
      <c r="C26" s="1289" t="s">
        <v>166</v>
      </c>
      <c r="D26" s="1289" t="s">
        <v>167</v>
      </c>
      <c r="E26" s="1289"/>
      <c r="F26" s="1943"/>
      <c r="G26" s="1943"/>
      <c r="H26" s="1943"/>
      <c r="I26" s="1961"/>
      <c r="J26" s="1961"/>
      <c r="K26" s="278"/>
      <c r="L26" s="1223"/>
      <c r="M26" s="214"/>
      <c r="N26" s="214"/>
      <c r="O26" s="246"/>
      <c r="P26" s="246"/>
      <c r="Q26" s="246"/>
      <c r="R26" s="250" t="str">
        <f>S25&amp;"-"&amp;U25</f>
        <v>-</v>
      </c>
      <c r="S26" s="2047"/>
      <c r="T26" s="1850"/>
      <c r="U26" s="2047"/>
      <c r="V26" s="1850"/>
      <c r="W26" s="246"/>
      <c r="X26" s="2065"/>
      <c r="Z26" s="426"/>
      <c r="AA26" s="426" t="str">
        <f t="shared" si="0"/>
        <v/>
      </c>
      <c r="AB26" s="426"/>
      <c r="AC26" s="426"/>
    </row>
    <row r="27" spans="1:29" ht="15" customHeight="1">
      <c r="A27" s="1289" t="s">
        <v>164</v>
      </c>
      <c r="B27" s="1289" t="s">
        <v>165</v>
      </c>
      <c r="C27" s="1289" t="s">
        <v>166</v>
      </c>
      <c r="D27" s="1289" t="s">
        <v>167</v>
      </c>
      <c r="E27" s="1289"/>
      <c r="F27" s="1943"/>
      <c r="G27" s="1943"/>
      <c r="I27" s="1961"/>
      <c r="J27" s="1961"/>
      <c r="K27" s="277"/>
      <c r="L27" s="1208"/>
      <c r="M27" s="203" t="s">
        <v>486</v>
      </c>
      <c r="N27" s="291"/>
      <c r="O27" s="291"/>
      <c r="P27" s="291"/>
      <c r="Q27" s="291"/>
      <c r="R27" s="291"/>
      <c r="S27" s="291"/>
      <c r="T27" s="291"/>
      <c r="U27" s="291"/>
      <c r="V27" s="291"/>
      <c r="W27" s="245"/>
      <c r="X27" s="2066"/>
      <c r="Z27" s="426"/>
      <c r="AA27" s="426" t="str">
        <f t="shared" si="0"/>
        <v>Добавить вид теплоносителя (параметры теплоносителя)</v>
      </c>
      <c r="AB27" s="426"/>
      <c r="AC27" s="426"/>
    </row>
    <row r="28" spans="1:29" ht="15" customHeight="1">
      <c r="A28" s="1289" t="s">
        <v>164</v>
      </c>
      <c r="B28" s="1289" t="s">
        <v>165</v>
      </c>
      <c r="C28" s="1289" t="s">
        <v>166</v>
      </c>
      <c r="D28" s="1289" t="s">
        <v>167</v>
      </c>
      <c r="E28" s="1289"/>
      <c r="F28" s="1943"/>
      <c r="I28" s="1961"/>
      <c r="J28" s="1220"/>
      <c r="K28" s="277"/>
      <c r="L28" s="1208"/>
      <c r="M28" s="202" t="s">
        <v>487</v>
      </c>
      <c r="N28" s="291"/>
      <c r="O28" s="291"/>
      <c r="P28" s="291"/>
      <c r="Q28" s="291"/>
      <c r="R28" s="291"/>
      <c r="S28" s="291"/>
      <c r="T28" s="291"/>
      <c r="U28" s="291"/>
      <c r="V28" s="290"/>
      <c r="W28" s="291"/>
      <c r="X28" s="217"/>
      <c r="Z28" s="426"/>
      <c r="AA28" s="426" t="str">
        <f t="shared" si="0"/>
        <v>Добавить группу потребителей</v>
      </c>
      <c r="AB28" s="426"/>
      <c r="AC28" s="426"/>
    </row>
    <row r="29" spans="1:29" ht="14.25" customHeight="1">
      <c r="A29" s="1289" t="s">
        <v>164</v>
      </c>
      <c r="B29" s="1289" t="s">
        <v>165</v>
      </c>
      <c r="C29" s="1289" t="s">
        <v>166</v>
      </c>
      <c r="D29" s="1289" t="s">
        <v>167</v>
      </c>
      <c r="E29" s="1289"/>
      <c r="F29" s="1291"/>
      <c r="G29" s="1291"/>
      <c r="H29" s="462"/>
      <c r="I29" s="281"/>
      <c r="J29" s="299"/>
      <c r="K29" s="276"/>
      <c r="L29" s="1208"/>
      <c r="M29" s="288" t="s">
        <v>488</v>
      </c>
      <c r="N29" s="291"/>
      <c r="O29" s="291"/>
      <c r="P29" s="291"/>
      <c r="Q29" s="291"/>
      <c r="R29" s="291"/>
      <c r="S29" s="291"/>
      <c r="T29" s="291"/>
      <c r="U29" s="291"/>
      <c r="V29" s="290"/>
      <c r="W29" s="291"/>
      <c r="X29" s="217"/>
      <c r="Z29" s="426"/>
      <c r="AA29" s="426" t="str">
        <f t="shared" si="0"/>
        <v>Добавить схему подключения</v>
      </c>
      <c r="AB29" s="426"/>
      <c r="AC29" s="426"/>
    </row>
    <row r="30" spans="1:29" ht="14.25" customHeight="1">
      <c r="A30" s="1289" t="s">
        <v>164</v>
      </c>
      <c r="B30" s="1289" t="s">
        <v>165</v>
      </c>
      <c r="C30" s="1289" t="s">
        <v>166</v>
      </c>
      <c r="D30" s="1289"/>
      <c r="E30" s="1289" t="s">
        <v>1583</v>
      </c>
      <c r="F30" s="1291"/>
      <c r="G30" s="1291"/>
      <c r="H30" s="462"/>
      <c r="I30" s="281"/>
      <c r="J30" s="299"/>
      <c r="K30" s="276"/>
      <c r="L30" s="1209"/>
      <c r="M30" s="1198"/>
      <c r="N30" s="1199"/>
      <c r="O30" s="1199"/>
      <c r="P30" s="1199"/>
      <c r="Q30" s="1199"/>
      <c r="R30" s="1199"/>
      <c r="S30" s="1199"/>
      <c r="T30" s="1199"/>
      <c r="U30" s="1199"/>
      <c r="V30" s="1200"/>
      <c r="W30" s="1199"/>
      <c r="X30" s="1201"/>
      <c r="Z30" s="426"/>
      <c r="AA30" s="426" t="str">
        <f t="shared" si="0"/>
        <v/>
      </c>
      <c r="AB30" s="426"/>
      <c r="AC30" s="426"/>
    </row>
    <row r="31" spans="1:29" ht="14.25" customHeight="1">
      <c r="A31" s="1289" t="s">
        <v>164</v>
      </c>
      <c r="B31" s="1289" t="s">
        <v>165</v>
      </c>
      <c r="C31" s="1289"/>
      <c r="D31" s="1289"/>
      <c r="E31" s="1289" t="s">
        <v>1584</v>
      </c>
      <c r="F31" s="1437"/>
      <c r="G31" s="1437"/>
      <c r="H31" s="462"/>
      <c r="I31" s="279"/>
      <c r="J31" s="299"/>
      <c r="K31" s="280"/>
      <c r="L31" s="1209"/>
      <c r="M31" s="1202"/>
      <c r="N31" s="1199"/>
      <c r="O31" s="1199"/>
      <c r="P31" s="1199"/>
      <c r="Q31" s="1199"/>
      <c r="R31" s="1199"/>
      <c r="S31" s="1199"/>
      <c r="T31" s="1199"/>
      <c r="U31" s="1199"/>
      <c r="V31" s="1200"/>
      <c r="W31" s="1199"/>
      <c r="X31" s="1201"/>
      <c r="Z31" s="426"/>
      <c r="AA31" s="426" t="str">
        <f t="shared" si="0"/>
        <v/>
      </c>
      <c r="AB31" s="426"/>
      <c r="AC31" s="426"/>
    </row>
    <row r="32" spans="1:29" ht="14.25" customHeight="1">
      <c r="A32" s="1289" t="s">
        <v>1585</v>
      </c>
      <c r="B32" s="1289"/>
      <c r="C32" s="1289"/>
      <c r="D32" s="1289"/>
      <c r="E32" s="1289" t="s">
        <v>100</v>
      </c>
      <c r="F32" s="1437"/>
      <c r="G32" s="1437"/>
      <c r="H32" s="462"/>
      <c r="I32" s="281"/>
      <c r="J32" s="299"/>
      <c r="K32" s="276"/>
      <c r="L32" s="1209"/>
      <c r="M32" s="1203"/>
      <c r="N32" s="1199"/>
      <c r="O32" s="1199"/>
      <c r="P32" s="1199"/>
      <c r="Q32" s="1199"/>
      <c r="R32" s="1199"/>
      <c r="S32" s="1199"/>
      <c r="T32" s="1199"/>
      <c r="U32" s="1199"/>
      <c r="V32" s="1200"/>
      <c r="W32" s="1199"/>
      <c r="X32" s="1201"/>
      <c r="Z32" s="426"/>
      <c r="AA32" s="426" t="str">
        <f t="shared" si="0"/>
        <v/>
      </c>
      <c r="AB32" s="426"/>
      <c r="AC32" s="426"/>
    </row>
    <row r="33" spans="1:29" s="1796" customFormat="1" ht="11.25" customHeight="1">
      <c r="A33" s="1289"/>
      <c r="B33" s="1289"/>
      <c r="C33" s="1289"/>
      <c r="D33" s="1289"/>
      <c r="E33" s="1289" t="s">
        <v>448</v>
      </c>
      <c r="F33" s="1438"/>
      <c r="G33" s="1439"/>
      <c r="H33" s="462"/>
      <c r="L33" s="1210"/>
      <c r="M33" s="1204"/>
      <c r="N33" s="1199"/>
      <c r="O33" s="1199"/>
      <c r="P33" s="1199"/>
      <c r="Q33" s="1199"/>
      <c r="R33" s="1199"/>
      <c r="S33" s="1199"/>
      <c r="T33" s="1199"/>
      <c r="U33" s="1199"/>
      <c r="V33" s="1200"/>
      <c r="W33" s="1199"/>
      <c r="X33" s="1201"/>
      <c r="Y33" s="306"/>
      <c r="Z33" s="306"/>
      <c r="AA33" s="306"/>
      <c r="AB33" s="306"/>
      <c r="AC33" s="306"/>
    </row>
    <row r="34" spans="1:29" ht="11.25" customHeight="1">
      <c r="F34" s="1070"/>
      <c r="G34" s="1070"/>
      <c r="H34" s="462"/>
      <c r="I34" s="1065"/>
      <c r="J34" s="1065"/>
      <c r="K34" s="1065"/>
      <c r="Y34" s="1065"/>
      <c r="Z34" s="1065"/>
      <c r="AA34" s="1065"/>
      <c r="AB34" s="1065"/>
      <c r="AC34" s="1065"/>
    </row>
    <row r="35" spans="1:29" ht="27" customHeight="1">
      <c r="H35" s="462"/>
      <c r="L35" s="1217" t="s">
        <v>520</v>
      </c>
      <c r="M35" s="2041" t="s">
        <v>527</v>
      </c>
      <c r="N35" s="2041"/>
      <c r="O35" s="2041"/>
      <c r="P35" s="2041"/>
      <c r="Q35" s="2041"/>
      <c r="R35" s="2041"/>
      <c r="S35" s="2041"/>
      <c r="T35" s="2041"/>
      <c r="U35" s="2041"/>
      <c r="V35" s="2041"/>
      <c r="W35" s="2041"/>
      <c r="X35" s="2041"/>
    </row>
    <row r="36" spans="1:29" ht="104.25" customHeight="1">
      <c r="H36" s="462"/>
      <c r="I36" s="1232"/>
      <c r="M36" s="2041" t="s">
        <v>522</v>
      </c>
      <c r="N36" s="2041"/>
      <c r="O36" s="2041"/>
      <c r="P36" s="2041"/>
      <c r="Q36" s="2041"/>
      <c r="R36" s="2041"/>
      <c r="S36" s="2041"/>
      <c r="T36" s="2041"/>
      <c r="U36" s="2041"/>
      <c r="V36" s="2041"/>
      <c r="W36" s="2041"/>
      <c r="X36" s="2041"/>
    </row>
    <row r="37" spans="1:29" ht="14.25" customHeight="1">
      <c r="H37" s="462"/>
    </row>
    <row r="38" spans="1:29" ht="14.25" customHeight="1">
      <c r="H38" s="462"/>
    </row>
    <row r="39" spans="1:29" ht="14.25" customHeight="1">
      <c r="H39" s="462"/>
    </row>
    <row r="40" spans="1:29" ht="14.25" customHeight="1">
      <c r="H40" s="462"/>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1.59765625" style="1560" customWidth="1"/>
    <col min="2" max="2" width="10.69921875" style="1560" customWidth="1"/>
    <col min="3" max="3" width="10" style="1560" customWidth="1"/>
    <col min="4" max="4" width="12.796875" style="1560" customWidth="1"/>
    <col min="5" max="5" width="12.296875" style="1560" customWidth="1"/>
    <col min="6" max="8" width="12.296875" style="1794" customWidth="1"/>
    <col min="9" max="9" width="3.69921875" style="1794" customWidth="1"/>
    <col min="10" max="11" width="3.69921875" style="265" customWidth="1"/>
    <col min="12" max="12" width="12.69921875" style="1795" customWidth="1"/>
    <col min="13" max="13" width="32" style="1560" customWidth="1"/>
    <col min="14" max="14" width="1.69921875" style="1560" customWidth="1"/>
    <col min="15" max="18" width="24.69921875" style="1560" customWidth="1"/>
    <col min="19" max="19" width="11.69921875" style="1560" customWidth="1"/>
    <col min="20" max="20" width="3.69921875" style="1560" customWidth="1"/>
    <col min="21" max="21" width="11.69921875" style="1560" customWidth="1"/>
    <col min="22" max="22" width="8.59765625" style="1560" customWidth="1"/>
    <col min="23" max="23" width="4.69921875" style="1560" customWidth="1"/>
    <col min="24" max="24" width="115.69921875" style="1560" customWidth="1"/>
    <col min="25" max="26" width="10.59765625" style="1567"/>
    <col min="27" max="27" width="11.09765625" style="1567" customWidth="1"/>
    <col min="28" max="29" width="10.59765625" style="1567"/>
  </cols>
  <sheetData>
    <row r="1" spans="6:29" ht="14.25" hidden="1" customHeight="1">
      <c r="R1" s="249"/>
      <c r="S1" s="249"/>
    </row>
    <row r="2" spans="6:29" ht="14.25" hidden="1" customHeight="1">
      <c r="V2" s="249"/>
    </row>
    <row r="3" spans="6:29" ht="14.25" hidden="1" customHeight="1"/>
    <row r="4" spans="6:29" ht="14.25" customHeight="1">
      <c r="J4" s="300"/>
      <c r="K4" s="300"/>
      <c r="L4" s="1205"/>
      <c r="M4" s="286"/>
      <c r="N4" s="286"/>
      <c r="O4" s="435"/>
      <c r="P4" s="435"/>
      <c r="Q4" s="435"/>
      <c r="R4" s="435"/>
      <c r="S4" s="435"/>
      <c r="T4" s="435"/>
      <c r="U4" s="435"/>
      <c r="V4" s="435"/>
    </row>
    <row r="5" spans="6:29" ht="64.5" customHeight="1">
      <c r="J5" s="300"/>
      <c r="K5" s="300"/>
      <c r="L5" s="1893" t="s">
        <v>1580</v>
      </c>
      <c r="M5" s="1893"/>
      <c r="N5" s="1893"/>
      <c r="O5" s="1893"/>
      <c r="P5" s="1893"/>
      <c r="Q5" s="1893"/>
      <c r="R5" s="1893"/>
      <c r="S5" s="1893"/>
      <c r="T5" s="1893"/>
      <c r="U5" s="1893"/>
      <c r="V5" s="1162"/>
    </row>
    <row r="6" spans="6:29" ht="14.25" customHeight="1">
      <c r="J6" s="300"/>
      <c r="K6" s="300"/>
      <c r="L6" s="1916" t="str">
        <f>IF(org=0,"Не определено",org)</f>
        <v>НАО "СВЕЗА Мантурово"</v>
      </c>
      <c r="M6" s="1916"/>
      <c r="N6" s="1916"/>
      <c r="O6" s="1916"/>
      <c r="P6" s="1916"/>
      <c r="Q6" s="1916"/>
      <c r="R6" s="1916"/>
      <c r="S6" s="1916"/>
      <c r="T6" s="1916"/>
      <c r="U6" s="1916"/>
      <c r="V6" s="1162"/>
    </row>
    <row r="7" spans="6:29" ht="14.25" customHeight="1">
      <c r="J7" s="300"/>
      <c r="K7" s="300"/>
      <c r="L7" s="1205"/>
      <c r="M7" s="286"/>
      <c r="N7" s="286"/>
      <c r="O7" s="242"/>
      <c r="P7" s="242"/>
      <c r="Q7" s="242"/>
      <c r="R7" s="242"/>
      <c r="S7" s="242"/>
      <c r="T7" s="242"/>
      <c r="U7" s="242"/>
      <c r="V7" s="242"/>
      <c r="W7" s="435"/>
    </row>
    <row r="8" spans="6:29" s="1781" customFormat="1" ht="45" customHeight="1">
      <c r="F8" s="1168"/>
      <c r="G8" s="1168"/>
      <c r="H8" s="1168"/>
      <c r="L8" s="1206"/>
      <c r="M8" s="209" t="s">
        <v>39</v>
      </c>
      <c r="N8" s="218"/>
      <c r="O8" s="2035" t="str">
        <f>IF(TITLE_NAME_OR_PR_CHANGE="",IF(TITLE_NAME_OR_PR="","",TITLE_NAME_OR_PR),TITLE_NAME_OR_PR_CHANGE)</f>
        <v/>
      </c>
      <c r="P8" s="2035"/>
      <c r="Q8" s="2035"/>
      <c r="R8" s="2035"/>
      <c r="S8" s="2035"/>
      <c r="T8" s="2035"/>
      <c r="U8" s="2035"/>
      <c r="V8" s="248"/>
      <c r="W8" s="248"/>
      <c r="X8" s="196"/>
      <c r="Y8" s="292"/>
      <c r="Z8" s="292"/>
      <c r="AA8" s="292"/>
      <c r="AB8" s="292"/>
      <c r="AC8" s="292"/>
    </row>
    <row r="9" spans="6:29" s="1781" customFormat="1" ht="22.5" customHeight="1">
      <c r="F9" s="1168"/>
      <c r="G9" s="1168"/>
      <c r="H9" s="1168"/>
      <c r="L9" s="1206"/>
      <c r="M9" s="209" t="s">
        <v>495</v>
      </c>
      <c r="N9" s="218"/>
      <c r="O9" s="2035" t="str">
        <f>IF(TITLE_DATE_CHANGE_PERIOD="",IF(TITLE_DATE_PR="","",TITLE_DATE_PR),TITLE_DATE_CHANGE_PERIOD)</f>
        <v/>
      </c>
      <c r="P9" s="2035"/>
      <c r="Q9" s="2035"/>
      <c r="R9" s="2035"/>
      <c r="S9" s="2035"/>
      <c r="T9" s="2035"/>
      <c r="U9" s="2035"/>
      <c r="V9" s="248"/>
      <c r="W9" s="248"/>
      <c r="X9" s="196"/>
      <c r="Y9" s="292"/>
      <c r="Z9" s="292"/>
      <c r="AA9" s="292"/>
      <c r="AB9" s="292"/>
      <c r="AC9" s="292"/>
    </row>
    <row r="10" spans="6:29" s="1781" customFormat="1" ht="22.5" customHeight="1">
      <c r="F10" s="1168"/>
      <c r="G10" s="1168"/>
      <c r="H10" s="1168"/>
      <c r="L10" s="1170"/>
      <c r="M10" s="209" t="s">
        <v>496</v>
      </c>
      <c r="N10" s="218"/>
      <c r="O10" s="2035" t="str">
        <f>IF(TITLE_NUMBER_PR_CHANGE="",IF(TITLE_NUMBER_PR="","",TITLE_NUMBER_PR),TITLE_NUMBER_PR_CHANGE)</f>
        <v/>
      </c>
      <c r="P10" s="2035"/>
      <c r="Q10" s="2035"/>
      <c r="R10" s="2035"/>
      <c r="S10" s="2035"/>
      <c r="T10" s="2035"/>
      <c r="U10" s="2035"/>
      <c r="V10" s="248"/>
      <c r="W10" s="248"/>
      <c r="X10" s="196"/>
      <c r="Y10" s="292"/>
      <c r="Z10" s="292"/>
      <c r="AA10" s="292"/>
      <c r="AB10" s="292"/>
      <c r="AC10" s="292"/>
    </row>
    <row r="11" spans="6:29" s="1781" customFormat="1" ht="22.5" customHeight="1">
      <c r="F11" s="1168"/>
      <c r="G11" s="1168"/>
      <c r="H11" s="1168"/>
      <c r="L11" s="1170"/>
      <c r="M11" s="209" t="s">
        <v>40</v>
      </c>
      <c r="N11" s="218"/>
      <c r="O11" s="2035" t="str">
        <f>IF(TITLE_IST_PUB_CHANGE="",IF(TITLE_IST_PUB="","",TITLE_IST_PUB),TITLE_IST_PUB_CHANGE)</f>
        <v/>
      </c>
      <c r="P11" s="2035"/>
      <c r="Q11" s="2035"/>
      <c r="R11" s="2035"/>
      <c r="S11" s="2035"/>
      <c r="T11" s="2035"/>
      <c r="U11" s="2035"/>
      <c r="V11" s="248"/>
      <c r="W11" s="248"/>
      <c r="X11" s="196"/>
      <c r="Y11" s="292"/>
      <c r="Z11" s="292"/>
      <c r="AA11" s="292"/>
      <c r="AB11" s="292"/>
      <c r="AC11" s="292"/>
    </row>
    <row r="12" spans="6:29" s="1781" customFormat="1" ht="11.25" hidden="1" customHeight="1">
      <c r="F12" s="1168"/>
      <c r="G12" s="1168"/>
      <c r="H12" s="1168"/>
      <c r="L12" s="2117"/>
      <c r="M12" s="2117"/>
      <c r="N12" s="1216"/>
      <c r="O12" s="248"/>
      <c r="P12" s="248"/>
      <c r="Q12" s="248"/>
      <c r="R12" s="248"/>
      <c r="S12" s="248"/>
      <c r="T12" s="248"/>
      <c r="U12" s="248"/>
      <c r="V12" s="194" t="s">
        <v>499</v>
      </c>
      <c r="Y12" s="292"/>
      <c r="Z12" s="292"/>
      <c r="AA12" s="292"/>
      <c r="AB12" s="292"/>
      <c r="AC12" s="292"/>
    </row>
    <row r="13" spans="6:29" ht="14.25" customHeight="1">
      <c r="J13" s="300"/>
      <c r="K13" s="300"/>
      <c r="L13" s="1205"/>
      <c r="M13" s="286"/>
      <c r="N13" s="1163"/>
      <c r="O13" s="2053"/>
      <c r="P13" s="2053"/>
      <c r="Q13" s="2053"/>
      <c r="R13" s="2053"/>
      <c r="S13" s="2053"/>
      <c r="T13" s="2053"/>
      <c r="U13" s="2053"/>
      <c r="V13" s="2053"/>
    </row>
    <row r="14" spans="6:29" ht="14.25" customHeight="1">
      <c r="J14" s="300"/>
      <c r="K14" s="300"/>
      <c r="L14" s="1840" t="s">
        <v>282</v>
      </c>
      <c r="M14" s="1840"/>
      <c r="N14" s="1840"/>
      <c r="O14" s="1840"/>
      <c r="P14" s="1840"/>
      <c r="Q14" s="1840"/>
      <c r="R14" s="1840"/>
      <c r="S14" s="1840"/>
      <c r="T14" s="1840"/>
      <c r="U14" s="1840"/>
      <c r="V14" s="1840"/>
      <c r="W14" s="1840"/>
      <c r="X14" s="1840" t="s">
        <v>283</v>
      </c>
    </row>
    <row r="15" spans="6:29" ht="14.25" customHeight="1">
      <c r="J15" s="300"/>
      <c r="K15" s="300"/>
      <c r="L15" s="2054" t="s">
        <v>87</v>
      </c>
      <c r="M15" s="1925" t="s">
        <v>500</v>
      </c>
      <c r="N15" s="215"/>
      <c r="O15" s="2055" t="s">
        <v>1581</v>
      </c>
      <c r="P15" s="2056"/>
      <c r="Q15" s="2056"/>
      <c r="R15" s="2056"/>
      <c r="S15" s="2056"/>
      <c r="T15" s="2056"/>
      <c r="U15" s="2057"/>
      <c r="V15" s="2058" t="s">
        <v>502</v>
      </c>
      <c r="W15" s="2061" t="s">
        <v>1582</v>
      </c>
      <c r="X15" s="1840"/>
    </row>
    <row r="16" spans="6:29" ht="33.75" customHeight="1">
      <c r="J16" s="300"/>
      <c r="K16" s="300"/>
      <c r="L16" s="2054"/>
      <c r="M16" s="1925"/>
      <c r="N16" s="947"/>
      <c r="O16" s="1894" t="s">
        <v>505</v>
      </c>
      <c r="P16" s="1894" t="s">
        <v>506</v>
      </c>
      <c r="Q16" s="1822" t="s">
        <v>507</v>
      </c>
      <c r="R16" s="1821"/>
      <c r="S16" s="1822" t="s">
        <v>526</v>
      </c>
      <c r="T16" s="1827"/>
      <c r="U16" s="1821"/>
      <c r="V16" s="2059"/>
      <c r="W16" s="2062"/>
      <c r="X16" s="1840"/>
    </row>
    <row r="17" spans="1:29" ht="33.75" customHeight="1">
      <c r="A17" s="1189" t="s">
        <v>130</v>
      </c>
      <c r="B17" s="1189" t="s">
        <v>131</v>
      </c>
      <c r="C17" s="1189" t="s">
        <v>132</v>
      </c>
      <c r="D17" s="1189" t="s">
        <v>133</v>
      </c>
      <c r="E17" s="1189"/>
      <c r="J17" s="300"/>
      <c r="K17" s="300"/>
      <c r="L17" s="2054"/>
      <c r="M17" s="1925"/>
      <c r="N17" s="216"/>
      <c r="O17" s="1950"/>
      <c r="P17" s="1950"/>
      <c r="Q17" s="1138" t="s">
        <v>516</v>
      </c>
      <c r="R17" s="1138" t="s">
        <v>517</v>
      </c>
      <c r="S17" s="1221" t="s">
        <v>518</v>
      </c>
      <c r="T17" s="1931" t="s">
        <v>519</v>
      </c>
      <c r="U17" s="1945"/>
      <c r="V17" s="2060"/>
      <c r="W17" s="2063"/>
      <c r="X17" s="1840"/>
    </row>
    <row r="18" spans="1:29" s="1566" customFormat="1" ht="11.25" customHeight="1">
      <c r="A18" s="1189"/>
      <c r="B18" s="1189"/>
      <c r="C18" s="1189"/>
      <c r="D18" s="1189"/>
      <c r="E18" s="1189"/>
      <c r="F18" s="1215"/>
      <c r="G18" s="1215"/>
      <c r="H18" s="1215"/>
      <c r="I18" s="1165"/>
      <c r="J18" s="1166"/>
      <c r="K18" s="1181">
        <v>1</v>
      </c>
      <c r="L18" s="1207" t="s">
        <v>105</v>
      </c>
      <c r="M18" s="1182" t="s">
        <v>106</v>
      </c>
      <c r="N18" s="1164" t="str">
        <f ca="1">OFFSET(N18,0,-1)</f>
        <v>2</v>
      </c>
      <c r="O18" s="1218">
        <f ca="1">OFFSET(O18,0,-1)+1</f>
        <v>3</v>
      </c>
      <c r="P18" s="1218"/>
      <c r="Q18" s="1218">
        <f ca="1">OFFSET(Q18,0,-1)+1</f>
        <v>1</v>
      </c>
      <c r="R18" s="1218">
        <f ca="1">OFFSET(R18,0,-1)+1</f>
        <v>2</v>
      </c>
      <c r="S18" s="1218">
        <f ca="1">OFFSET(S18,0,-1)+1</f>
        <v>3</v>
      </c>
      <c r="T18" s="2052">
        <f ca="1">OFFSET(T18,0,-1)+1</f>
        <v>4</v>
      </c>
      <c r="U18" s="2052"/>
      <c r="V18" s="1218">
        <f ca="1">OFFSET(V18,0,-2)+1</f>
        <v>5</v>
      </c>
      <c r="W18" s="1164">
        <f ca="1">OFFSET(W18,0,-1)</f>
        <v>5</v>
      </c>
      <c r="X18" s="1218">
        <f ca="1">OFFSET(X18,0,-1)+1</f>
        <v>6</v>
      </c>
      <c r="Y18" s="437"/>
      <c r="Z18" s="437"/>
      <c r="AA18" s="437"/>
      <c r="AB18" s="437"/>
      <c r="AC18" s="437"/>
    </row>
    <row r="19" spans="1:29" ht="21" customHeight="1">
      <c r="A19" s="1196" t="s">
        <v>1586</v>
      </c>
      <c r="B19" s="1196" t="s">
        <v>1587</v>
      </c>
      <c r="C19" s="1196" t="s">
        <v>1588</v>
      </c>
      <c r="D19" s="1196" t="s">
        <v>1589</v>
      </c>
      <c r="E19" s="1196"/>
      <c r="F19" s="608"/>
      <c r="G19" s="608"/>
      <c r="H19" s="608"/>
      <c r="I19" s="282"/>
      <c r="J19" s="281"/>
      <c r="K19" s="276"/>
      <c r="L19" s="1222" t="e">
        <f>INDEX(PT_DIFFERENTIATION_NUM_NTAR,MATCH(A19,PT_DIFFERENTIATION_NTAR_ID,0))</f>
        <v>#N/A</v>
      </c>
      <c r="M19" s="212" t="s">
        <v>119</v>
      </c>
      <c r="N19" s="214"/>
      <c r="O19" s="2112" t="e">
        <f>INDEX(PT_DIFFERENTIATION_NTAR,MATCH(A19,PT_DIFFERENTIATION_NTAR_ID,0))</f>
        <v>#N/A</v>
      </c>
      <c r="P19" s="2112"/>
      <c r="Q19" s="2112"/>
      <c r="R19" s="2112"/>
      <c r="S19" s="2112"/>
      <c r="T19" s="2112"/>
      <c r="U19" s="2112"/>
      <c r="V19" s="2112"/>
      <c r="W19" s="2112"/>
      <c r="X19" s="1187" t="s">
        <v>471</v>
      </c>
      <c r="Z19" s="426"/>
      <c r="AA19" s="426" t="str">
        <f t="shared" ref="AA19:AA32" si="0">IF(M19="","",M19)</f>
        <v>Наименование тарифа</v>
      </c>
      <c r="AB19" s="426"/>
      <c r="AC19" s="426"/>
    </row>
    <row r="20" spans="1:29" ht="21" customHeight="1">
      <c r="A20" s="1196" t="s">
        <v>1586</v>
      </c>
      <c r="B20" s="1196" t="s">
        <v>1587</v>
      </c>
      <c r="C20" s="1196" t="s">
        <v>1588</v>
      </c>
      <c r="D20" s="1196" t="s">
        <v>1589</v>
      </c>
      <c r="E20" s="1196"/>
      <c r="F20" s="608"/>
      <c r="G20" s="608"/>
      <c r="H20" s="608"/>
      <c r="I20" s="1219"/>
      <c r="J20" s="273"/>
      <c r="K20" s="274"/>
      <c r="L20" s="1222" t="e">
        <f>INDEX(PT_DIFFERENTIATION_NUM_TER,MATCH(B19,PT_DIFFERENTIATION_TER_ID,0))</f>
        <v>#N/A</v>
      </c>
      <c r="M20" s="224" t="s">
        <v>472</v>
      </c>
      <c r="N20" s="214"/>
      <c r="O20" s="2112" t="e">
        <f>INDEX(PT_DIFFERENTIATION_TER,MATCH(B19,PT_DIFFERENTIATION_TER_ID,0))</f>
        <v>#N/A</v>
      </c>
      <c r="P20" s="2112"/>
      <c r="Q20" s="2112"/>
      <c r="R20" s="2112"/>
      <c r="S20" s="2112"/>
      <c r="T20" s="2112"/>
      <c r="U20" s="2112"/>
      <c r="V20" s="2112"/>
      <c r="W20" s="2112"/>
      <c r="X20" s="1187" t="s">
        <v>473</v>
      </c>
      <c r="Z20" s="426"/>
      <c r="AA20" s="426" t="str">
        <f t="shared" si="0"/>
        <v>Территория действия тарифа</v>
      </c>
      <c r="AB20" s="426"/>
      <c r="AC20" s="426"/>
    </row>
    <row r="21" spans="1:29" ht="22.5" customHeight="1">
      <c r="A21" s="1196" t="s">
        <v>1586</v>
      </c>
      <c r="B21" s="1196" t="s">
        <v>1587</v>
      </c>
      <c r="C21" s="1196" t="s">
        <v>1588</v>
      </c>
      <c r="D21" s="1196" t="s">
        <v>1589</v>
      </c>
      <c r="E21" s="1196"/>
      <c r="F21" s="608"/>
      <c r="G21" s="608"/>
      <c r="H21" s="608"/>
      <c r="I21" s="275"/>
      <c r="J21" s="273"/>
      <c r="K21" s="274"/>
      <c r="L21" s="1222" t="e">
        <f>INDEX(PT_DIFFERENTIATION_NUM_CS,MATCH(C19,PT_DIFFERENTIATION_CS_ID,0))</f>
        <v>#N/A</v>
      </c>
      <c r="M21" s="225" t="s">
        <v>474</v>
      </c>
      <c r="N21" s="214"/>
      <c r="O21" s="2112" t="e">
        <f>INDEX(PT_DIFFERENTIATION_CS,MATCH(C19,PT_DIFFERENTIATION_CS_ID,0))</f>
        <v>#N/A</v>
      </c>
      <c r="P21" s="2112"/>
      <c r="Q21" s="2112"/>
      <c r="R21" s="2112"/>
      <c r="S21" s="2112"/>
      <c r="T21" s="2112"/>
      <c r="U21" s="2112"/>
      <c r="V21" s="2112"/>
      <c r="W21" s="2112"/>
      <c r="X21" s="1187" t="s">
        <v>475</v>
      </c>
      <c r="Z21" s="426"/>
      <c r="AA21" s="426" t="str">
        <f t="shared" si="0"/>
        <v xml:space="preserve">Наименование системы теплоснабжения </v>
      </c>
      <c r="AB21" s="426"/>
      <c r="AC21" s="426"/>
    </row>
    <row r="22" spans="1:29" ht="21" customHeight="1">
      <c r="A22" s="1196" t="s">
        <v>1586</v>
      </c>
      <c r="B22" s="1196" t="s">
        <v>1587</v>
      </c>
      <c r="C22" s="1196" t="s">
        <v>1588</v>
      </c>
      <c r="D22" s="1196" t="s">
        <v>1589</v>
      </c>
      <c r="E22" s="1196"/>
      <c r="F22" s="608"/>
      <c r="G22" s="608"/>
      <c r="H22" s="608"/>
      <c r="I22" s="275"/>
      <c r="J22" s="273"/>
      <c r="K22" s="274"/>
      <c r="L22" s="1222" t="e">
        <f>INDEX(PT_DIFFERENTIATION_NUM_IST_TE,MATCH(D19,PT_DIFFERENTIATION_IST_TE_ID,0))</f>
        <v>#N/A</v>
      </c>
      <c r="M22" s="226" t="s">
        <v>476</v>
      </c>
      <c r="N22" s="214"/>
      <c r="O22" s="2112" t="e">
        <f>INDEX(PT_DIFFERENTIATION_IST_TE,MATCH(D19,PT_DIFFERENTIATION_IST_TE_ID,0))</f>
        <v>#N/A</v>
      </c>
      <c r="P22" s="2112"/>
      <c r="Q22" s="2112"/>
      <c r="R22" s="2112"/>
      <c r="S22" s="2112"/>
      <c r="T22" s="2112"/>
      <c r="U22" s="2112"/>
      <c r="V22" s="2112"/>
      <c r="W22" s="2112"/>
      <c r="X22" s="1187" t="s">
        <v>477</v>
      </c>
      <c r="Z22" s="426"/>
      <c r="AA22" s="426" t="str">
        <f t="shared" si="0"/>
        <v xml:space="preserve">Источник тепловой энергии  </v>
      </c>
      <c r="AB22" s="426"/>
      <c r="AC22" s="426"/>
    </row>
    <row r="23" spans="1:29" ht="94.5" customHeight="1">
      <c r="A23" s="1196" t="s">
        <v>1586</v>
      </c>
      <c r="B23" s="1196" t="s">
        <v>1587</v>
      </c>
      <c r="C23" s="1196" t="s">
        <v>1588</v>
      </c>
      <c r="D23" s="1196" t="s">
        <v>1589</v>
      </c>
      <c r="E23" s="1196"/>
      <c r="F23" s="1825" t="e">
        <f>L22&amp;".1"</f>
        <v>#N/A</v>
      </c>
      <c r="I23" s="1961">
        <v>1</v>
      </c>
      <c r="J23" s="1220"/>
      <c r="K23" s="277"/>
      <c r="L23" s="1222" t="e">
        <f>$F$23</f>
        <v>#N/A</v>
      </c>
      <c r="M23" s="200" t="s">
        <v>479</v>
      </c>
      <c r="N23" s="214"/>
      <c r="O23" s="2113"/>
      <c r="P23" s="2113"/>
      <c r="Q23" s="2113"/>
      <c r="R23" s="2113"/>
      <c r="S23" s="2113"/>
      <c r="T23" s="2113"/>
      <c r="U23" s="2113"/>
      <c r="V23" s="2113"/>
      <c r="W23" s="2113"/>
      <c r="X23" s="1187" t="s">
        <v>480</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96" t="s">
        <v>1586</v>
      </c>
      <c r="B24" s="1196" t="s">
        <v>1587</v>
      </c>
      <c r="C24" s="1196" t="s">
        <v>1588</v>
      </c>
      <c r="D24" s="1196" t="s">
        <v>1589</v>
      </c>
      <c r="E24" s="1196"/>
      <c r="F24" s="1825"/>
      <c r="G24" s="1825" t="e">
        <f>F23&amp;".1"</f>
        <v>#N/A</v>
      </c>
      <c r="I24" s="1961"/>
      <c r="J24" s="1961">
        <v>1</v>
      </c>
      <c r="K24" s="278"/>
      <c r="L24" s="1222" t="e">
        <f>$G$24</f>
        <v>#N/A</v>
      </c>
      <c r="M24" s="201" t="s">
        <v>482</v>
      </c>
      <c r="N24" s="214"/>
      <c r="O24" s="2114"/>
      <c r="P24" s="2115"/>
      <c r="Q24" s="2115"/>
      <c r="R24" s="2115"/>
      <c r="S24" s="2115"/>
      <c r="T24" s="2115"/>
      <c r="U24" s="2115"/>
      <c r="V24" s="2115"/>
      <c r="W24" s="2116"/>
      <c r="X24" s="1187" t="s">
        <v>483</v>
      </c>
      <c r="Z24" s="426"/>
      <c r="AA24" s="426" t="str">
        <f t="shared" si="0"/>
        <v>Группа потребителей</v>
      </c>
      <c r="AB24" s="426"/>
      <c r="AC24" s="426"/>
    </row>
    <row r="25" spans="1:29" ht="11.25" customHeight="1">
      <c r="A25" s="1196" t="s">
        <v>1586</v>
      </c>
      <c r="B25" s="1196" t="s">
        <v>1587</v>
      </c>
      <c r="C25" s="1196" t="s">
        <v>1588</v>
      </c>
      <c r="D25" s="1196" t="s">
        <v>1589</v>
      </c>
      <c r="E25" s="1196"/>
      <c r="F25" s="1825"/>
      <c r="G25" s="1825"/>
      <c r="H25" s="1825" t="e">
        <f>G24&amp;".1"</f>
        <v>#N/A</v>
      </c>
      <c r="I25" s="1961"/>
      <c r="J25" s="1961"/>
      <c r="K25" s="278">
        <v>1</v>
      </c>
      <c r="L25" s="1222" t="e">
        <f>$H$25</f>
        <v>#N/A</v>
      </c>
      <c r="M25" s="1188"/>
      <c r="N25" s="214"/>
      <c r="O25" s="669"/>
      <c r="P25" s="246"/>
      <c r="Q25" s="669"/>
      <c r="R25" s="1186"/>
      <c r="S25" s="2046"/>
      <c r="T25" s="1850" t="s">
        <v>58</v>
      </c>
      <c r="U25" s="2046"/>
      <c r="V25" s="1850" t="s">
        <v>56</v>
      </c>
      <c r="W25" s="246"/>
      <c r="X25" s="2064" t="s">
        <v>485</v>
      </c>
      <c r="Y25" s="437" t="e">
        <f ca="1">STRCHECKDATE(O26:W26)</f>
        <v>#NAME?</v>
      </c>
      <c r="Z25" s="426"/>
      <c r="AA25" s="426" t="str">
        <f t="shared" si="0"/>
        <v/>
      </c>
      <c r="AB25" s="426"/>
      <c r="AC25" s="426"/>
    </row>
    <row r="26" spans="1:29" ht="11.25" customHeight="1">
      <c r="A26" s="1196" t="s">
        <v>1586</v>
      </c>
      <c r="B26" s="1196" t="s">
        <v>1587</v>
      </c>
      <c r="C26" s="1196" t="s">
        <v>1588</v>
      </c>
      <c r="D26" s="1196" t="s">
        <v>1589</v>
      </c>
      <c r="E26" s="1196"/>
      <c r="F26" s="1825"/>
      <c r="G26" s="1825"/>
      <c r="H26" s="1825"/>
      <c r="I26" s="1961"/>
      <c r="J26" s="1961"/>
      <c r="K26" s="278"/>
      <c r="L26" s="1223"/>
      <c r="M26" s="214"/>
      <c r="N26" s="214"/>
      <c r="O26" s="246"/>
      <c r="P26" s="246"/>
      <c r="Q26" s="246"/>
      <c r="R26" s="250" t="str">
        <f>S25&amp;"-"&amp;U25</f>
        <v>-</v>
      </c>
      <c r="S26" s="2047"/>
      <c r="T26" s="1850"/>
      <c r="U26" s="2047"/>
      <c r="V26" s="1850"/>
      <c r="W26" s="246"/>
      <c r="X26" s="2065"/>
      <c r="Z26" s="426"/>
      <c r="AA26" s="426" t="str">
        <f t="shared" si="0"/>
        <v/>
      </c>
      <c r="AB26" s="426"/>
      <c r="AC26" s="426"/>
    </row>
    <row r="27" spans="1:29" ht="15" customHeight="1">
      <c r="A27" s="1196" t="s">
        <v>1586</v>
      </c>
      <c r="B27" s="1196" t="s">
        <v>1587</v>
      </c>
      <c r="C27" s="1196" t="s">
        <v>1588</v>
      </c>
      <c r="D27" s="1196" t="s">
        <v>1589</v>
      </c>
      <c r="E27" s="1196"/>
      <c r="F27" s="1825"/>
      <c r="G27" s="1825"/>
      <c r="I27" s="1961"/>
      <c r="J27" s="1961"/>
      <c r="K27" s="277"/>
      <c r="L27" s="1208"/>
      <c r="M27" s="203" t="s">
        <v>486</v>
      </c>
      <c r="N27" s="291"/>
      <c r="O27" s="291"/>
      <c r="P27" s="291"/>
      <c r="Q27" s="291"/>
      <c r="R27" s="291"/>
      <c r="S27" s="291"/>
      <c r="T27" s="291"/>
      <c r="U27" s="291"/>
      <c r="V27" s="291"/>
      <c r="W27" s="245"/>
      <c r="X27" s="2066"/>
      <c r="Z27" s="426"/>
      <c r="AA27" s="426" t="str">
        <f t="shared" si="0"/>
        <v>Добавить вид теплоносителя (параметры теплоносителя)</v>
      </c>
      <c r="AB27" s="426"/>
      <c r="AC27" s="426"/>
    </row>
    <row r="28" spans="1:29" ht="15" customHeight="1">
      <c r="A28" s="1196" t="s">
        <v>1586</v>
      </c>
      <c r="B28" s="1196" t="s">
        <v>1587</v>
      </c>
      <c r="C28" s="1196" t="s">
        <v>1588</v>
      </c>
      <c r="D28" s="1196" t="s">
        <v>1589</v>
      </c>
      <c r="E28" s="1196"/>
      <c r="F28" s="1825"/>
      <c r="I28" s="1961"/>
      <c r="J28" s="1220"/>
      <c r="K28" s="277"/>
      <c r="L28" s="1208"/>
      <c r="M28" s="202" t="s">
        <v>487</v>
      </c>
      <c r="N28" s="291"/>
      <c r="O28" s="291"/>
      <c r="P28" s="291"/>
      <c r="Q28" s="291"/>
      <c r="R28" s="291"/>
      <c r="S28" s="291"/>
      <c r="T28" s="291"/>
      <c r="U28" s="291"/>
      <c r="V28" s="290"/>
      <c r="W28" s="291"/>
      <c r="X28" s="217"/>
      <c r="Z28" s="426"/>
      <c r="AA28" s="426" t="str">
        <f t="shared" si="0"/>
        <v>Добавить группу потребителей</v>
      </c>
      <c r="AB28" s="426"/>
      <c r="AC28" s="426"/>
    </row>
    <row r="29" spans="1:29" ht="14.25" customHeight="1">
      <c r="A29" s="1196" t="s">
        <v>1586</v>
      </c>
      <c r="B29" s="1196" t="s">
        <v>1587</v>
      </c>
      <c r="C29" s="1196" t="s">
        <v>1588</v>
      </c>
      <c r="D29" s="1196" t="s">
        <v>1589</v>
      </c>
      <c r="E29" s="1196"/>
      <c r="F29" s="608"/>
      <c r="G29" s="608"/>
      <c r="H29" s="435"/>
      <c r="I29" s="281"/>
      <c r="J29" s="299"/>
      <c r="K29" s="276"/>
      <c r="L29" s="1208"/>
      <c r="M29" s="288" t="s">
        <v>488</v>
      </c>
      <c r="N29" s="291"/>
      <c r="O29" s="291"/>
      <c r="P29" s="291"/>
      <c r="Q29" s="291"/>
      <c r="R29" s="291"/>
      <c r="S29" s="291"/>
      <c r="T29" s="291"/>
      <c r="U29" s="291"/>
      <c r="V29" s="290"/>
      <c r="W29" s="291"/>
      <c r="X29" s="217"/>
      <c r="Z29" s="426"/>
      <c r="AA29" s="426" t="str">
        <f t="shared" si="0"/>
        <v>Добавить схему подключения</v>
      </c>
      <c r="AB29" s="426"/>
      <c r="AC29" s="426"/>
    </row>
    <row r="30" spans="1:29" ht="14.25" customHeight="1">
      <c r="A30" s="1196" t="s">
        <v>1586</v>
      </c>
      <c r="B30" s="1196" t="s">
        <v>1587</v>
      </c>
      <c r="C30" s="1196" t="s">
        <v>1588</v>
      </c>
      <c r="D30" s="1196"/>
      <c r="E30" s="1196" t="s">
        <v>1583</v>
      </c>
      <c r="F30" s="608"/>
      <c r="G30" s="608"/>
      <c r="H30" s="435"/>
      <c r="I30" s="281"/>
      <c r="J30" s="299"/>
      <c r="K30" s="276"/>
      <c r="L30" s="1209"/>
      <c r="M30" s="1198"/>
      <c r="N30" s="1199"/>
      <c r="O30" s="1199"/>
      <c r="P30" s="1199"/>
      <c r="Q30" s="1199"/>
      <c r="R30" s="1199"/>
      <c r="S30" s="1199"/>
      <c r="T30" s="1199"/>
      <c r="U30" s="1199"/>
      <c r="V30" s="1200"/>
      <c r="W30" s="1199"/>
      <c r="X30" s="1201"/>
      <c r="Z30" s="426"/>
      <c r="AA30" s="426" t="str">
        <f t="shared" si="0"/>
        <v/>
      </c>
      <c r="AB30" s="426"/>
      <c r="AC30" s="426"/>
    </row>
    <row r="31" spans="1:29" ht="14.25" customHeight="1">
      <c r="A31" s="1196" t="s">
        <v>1586</v>
      </c>
      <c r="B31" s="1196" t="s">
        <v>1587</v>
      </c>
      <c r="C31" s="1196"/>
      <c r="D31" s="1196"/>
      <c r="E31" s="1196" t="s">
        <v>1584</v>
      </c>
      <c r="F31" s="1184"/>
      <c r="G31" s="1184"/>
      <c r="H31" s="435"/>
      <c r="I31" s="279"/>
      <c r="J31" s="299"/>
      <c r="K31" s="280"/>
      <c r="L31" s="1209"/>
      <c r="M31" s="1202"/>
      <c r="N31" s="1199"/>
      <c r="O31" s="1199"/>
      <c r="P31" s="1199"/>
      <c r="Q31" s="1199"/>
      <c r="R31" s="1199"/>
      <c r="S31" s="1199"/>
      <c r="T31" s="1199"/>
      <c r="U31" s="1199"/>
      <c r="V31" s="1200"/>
      <c r="W31" s="1199"/>
      <c r="X31" s="1201"/>
      <c r="Z31" s="426"/>
      <c r="AA31" s="426" t="str">
        <f t="shared" si="0"/>
        <v/>
      </c>
      <c r="AB31" s="426"/>
      <c r="AC31" s="426"/>
    </row>
    <row r="32" spans="1:29" ht="14.25" customHeight="1">
      <c r="A32" s="1196" t="s">
        <v>1590</v>
      </c>
      <c r="B32" s="1196"/>
      <c r="C32" s="1196"/>
      <c r="D32" s="1196"/>
      <c r="E32" s="1196" t="s">
        <v>100</v>
      </c>
      <c r="F32" s="1184"/>
      <c r="G32" s="1184"/>
      <c r="H32" s="435"/>
      <c r="I32" s="281"/>
      <c r="J32" s="299"/>
      <c r="K32" s="276"/>
      <c r="L32" s="1209"/>
      <c r="M32" s="1203"/>
      <c r="N32" s="1199"/>
      <c r="O32" s="1199"/>
      <c r="P32" s="1199"/>
      <c r="Q32" s="1199"/>
      <c r="R32" s="1199"/>
      <c r="S32" s="1199"/>
      <c r="T32" s="1199"/>
      <c r="U32" s="1199"/>
      <c r="V32" s="1200"/>
      <c r="W32" s="1199"/>
      <c r="X32" s="1201"/>
      <c r="Z32" s="426"/>
      <c r="AA32" s="426" t="str">
        <f t="shared" si="0"/>
        <v/>
      </c>
      <c r="AB32" s="426"/>
      <c r="AC32" s="426"/>
    </row>
    <row r="33" spans="1:29" s="1796" customFormat="1" ht="11.25" customHeight="1">
      <c r="A33" s="1196"/>
      <c r="B33" s="1196"/>
      <c r="C33" s="1196"/>
      <c r="D33" s="1196"/>
      <c r="E33" s="1196" t="s">
        <v>448</v>
      </c>
      <c r="F33" s="1197"/>
      <c r="G33" s="1185"/>
      <c r="H33" s="435"/>
      <c r="L33" s="1210"/>
      <c r="M33" s="1204"/>
      <c r="N33" s="1199"/>
      <c r="O33" s="1199"/>
      <c r="P33" s="1199"/>
      <c r="Q33" s="1199"/>
      <c r="R33" s="1199"/>
      <c r="S33" s="1199"/>
      <c r="T33" s="1199"/>
      <c r="U33" s="1199"/>
      <c r="V33" s="1200"/>
      <c r="W33" s="1199"/>
      <c r="X33" s="1201"/>
      <c r="Y33" s="306"/>
      <c r="Z33" s="306"/>
      <c r="AA33" s="306"/>
      <c r="AB33" s="306"/>
      <c r="AC33" s="306"/>
    </row>
    <row r="34" spans="1:29" ht="11.25" customHeight="1">
      <c r="F34" s="1065"/>
      <c r="G34" s="1065"/>
      <c r="H34" s="435"/>
      <c r="I34" s="1065"/>
      <c r="J34" s="1065"/>
      <c r="K34" s="1065"/>
      <c r="Y34" s="1065"/>
      <c r="Z34" s="1065"/>
      <c r="AA34" s="1065"/>
      <c r="AB34" s="1065"/>
      <c r="AC34" s="1065"/>
    </row>
    <row r="35" spans="1:29" ht="27" customHeight="1">
      <c r="H35" s="435"/>
      <c r="L35" s="1217" t="s">
        <v>520</v>
      </c>
      <c r="M35" s="2041" t="s">
        <v>527</v>
      </c>
      <c r="N35" s="2041"/>
      <c r="O35" s="2041"/>
      <c r="P35" s="2041"/>
      <c r="Q35" s="2041"/>
      <c r="R35" s="2041"/>
      <c r="S35" s="2041"/>
      <c r="T35" s="2041"/>
      <c r="U35" s="2041"/>
      <c r="V35" s="2041"/>
      <c r="W35" s="2041"/>
      <c r="X35" s="2041"/>
    </row>
    <row r="36" spans="1:29" ht="104.25" customHeight="1">
      <c r="F36" s="1232"/>
      <c r="G36" s="1232"/>
      <c r="H36" s="435"/>
      <c r="I36" s="1232"/>
      <c r="M36" s="2041" t="s">
        <v>522</v>
      </c>
      <c r="N36" s="2041"/>
      <c r="O36" s="2041"/>
      <c r="P36" s="2041"/>
      <c r="Q36" s="2041"/>
      <c r="R36" s="2041"/>
      <c r="S36" s="2041"/>
      <c r="T36" s="2041"/>
      <c r="U36" s="2041"/>
      <c r="V36" s="2041"/>
      <c r="W36" s="2041"/>
      <c r="X36" s="2041"/>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0.59765625" style="1560"/>
    <col min="2" max="2" width="11" style="1560" customWidth="1"/>
    <col min="3" max="3" width="10.59765625" style="1560"/>
    <col min="4" max="4" width="11.796875" style="1560" customWidth="1"/>
    <col min="5" max="5" width="12.296875" style="1560" customWidth="1"/>
    <col min="6" max="8" width="12.296875" style="1794" customWidth="1"/>
    <col min="9" max="9" width="3.69921875" style="1794" customWidth="1"/>
    <col min="10" max="11" width="3.69921875" style="265" customWidth="1"/>
    <col min="12" max="12" width="12.69921875" style="1795" customWidth="1"/>
    <col min="13" max="13" width="32" style="1560" customWidth="1"/>
    <col min="14" max="14" width="1.69921875" style="1560" customWidth="1"/>
    <col min="15" max="18" width="24.69921875" style="1560" customWidth="1"/>
    <col min="19" max="19" width="11.69921875" style="1560" customWidth="1"/>
    <col min="20" max="20" width="3.69921875" style="1560" customWidth="1"/>
    <col min="21" max="21" width="11.69921875" style="1560" customWidth="1"/>
    <col min="22" max="22" width="8.59765625" style="1560" customWidth="1"/>
    <col min="23" max="23" width="4.69921875" style="1560" customWidth="1"/>
    <col min="24" max="24" width="115.69921875" style="1560" customWidth="1"/>
    <col min="25" max="26" width="10.59765625" style="1567"/>
    <col min="27" max="27" width="11.09765625" style="1567" customWidth="1"/>
    <col min="28" max="29" width="10.59765625" style="1567"/>
  </cols>
  <sheetData>
    <row r="1" spans="6:29" ht="14.25" hidden="1" customHeight="1">
      <c r="R1" s="249"/>
      <c r="S1" s="249"/>
    </row>
    <row r="2" spans="6:29" ht="14.25" hidden="1" customHeight="1">
      <c r="V2" s="249"/>
    </row>
    <row r="3" spans="6:29" ht="14.25" hidden="1" customHeight="1"/>
    <row r="4" spans="6:29" ht="14.25" customHeight="1">
      <c r="J4" s="300"/>
      <c r="K4" s="300"/>
      <c r="L4" s="1205"/>
      <c r="M4" s="286"/>
      <c r="N4" s="286"/>
      <c r="O4" s="435"/>
      <c r="P4" s="435"/>
      <c r="Q4" s="435"/>
      <c r="R4" s="435"/>
      <c r="S4" s="435"/>
      <c r="T4" s="435"/>
      <c r="U4" s="435"/>
      <c r="V4" s="435"/>
    </row>
    <row r="5" spans="6:29" ht="64.5" customHeight="1">
      <c r="J5" s="300"/>
      <c r="K5" s="300"/>
      <c r="L5" s="1893" t="s">
        <v>1580</v>
      </c>
      <c r="M5" s="1893"/>
      <c r="N5" s="1893"/>
      <c r="O5" s="1893"/>
      <c r="P5" s="1893"/>
      <c r="Q5" s="1893"/>
      <c r="R5" s="1893"/>
      <c r="S5" s="1893"/>
      <c r="T5" s="1893"/>
      <c r="U5" s="1893"/>
      <c r="V5" s="1162"/>
    </row>
    <row r="6" spans="6:29" ht="14.25" customHeight="1">
      <c r="J6" s="300"/>
      <c r="K6" s="300"/>
      <c r="L6" s="1916" t="str">
        <f>IF(org=0,"Не определено",org)</f>
        <v>НАО "СВЕЗА Мантурово"</v>
      </c>
      <c r="M6" s="1916"/>
      <c r="N6" s="1916"/>
      <c r="O6" s="1916"/>
      <c r="P6" s="1916"/>
      <c r="Q6" s="1916"/>
      <c r="R6" s="1916"/>
      <c r="S6" s="1916"/>
      <c r="T6" s="1916"/>
      <c r="U6" s="1916"/>
      <c r="V6" s="1162"/>
    </row>
    <row r="7" spans="6:29" ht="14.25" customHeight="1">
      <c r="J7" s="300"/>
      <c r="K7" s="300"/>
      <c r="L7" s="1205"/>
      <c r="M7" s="286"/>
      <c r="N7" s="286"/>
      <c r="O7" s="242"/>
      <c r="P7" s="242"/>
      <c r="Q7" s="242"/>
      <c r="R7" s="242"/>
      <c r="S7" s="242"/>
      <c r="T7" s="242"/>
      <c r="U7" s="242"/>
      <c r="V7" s="242"/>
      <c r="W7" s="435"/>
    </row>
    <row r="8" spans="6:29" s="1781" customFormat="1" ht="45" customHeight="1">
      <c r="F8" s="1168"/>
      <c r="G8" s="1168"/>
      <c r="H8" s="1168"/>
      <c r="L8" s="1206"/>
      <c r="M8" s="209" t="s">
        <v>39</v>
      </c>
      <c r="N8" s="218"/>
      <c r="O8" s="2035" t="str">
        <f>IF(TITLE_NAME_OR_PR_CHANGE="",IF(TITLE_NAME_OR_PR="","",TITLE_NAME_OR_PR),TITLE_NAME_OR_PR_CHANGE)</f>
        <v/>
      </c>
      <c r="P8" s="2035"/>
      <c r="Q8" s="2035"/>
      <c r="R8" s="2035"/>
      <c r="S8" s="2035"/>
      <c r="T8" s="2035"/>
      <c r="U8" s="2035"/>
      <c r="V8" s="248"/>
      <c r="W8" s="248"/>
      <c r="X8" s="196"/>
      <c r="Y8" s="292"/>
      <c r="Z8" s="292"/>
      <c r="AA8" s="292"/>
      <c r="AB8" s="292"/>
      <c r="AC8" s="292"/>
    </row>
    <row r="9" spans="6:29" s="1781" customFormat="1" ht="22.5" customHeight="1">
      <c r="F9" s="1168"/>
      <c r="G9" s="1168"/>
      <c r="H9" s="1168"/>
      <c r="L9" s="1206"/>
      <c r="M9" s="209" t="s">
        <v>495</v>
      </c>
      <c r="N9" s="218"/>
      <c r="O9" s="2035" t="str">
        <f>IF(TITLE_DATE_CHANGE_PERIOD="",IF(TITLE_DATE_PR="","",TITLE_DATE_PR),TITLE_DATE_CHANGE_PERIOD)</f>
        <v/>
      </c>
      <c r="P9" s="2035"/>
      <c r="Q9" s="2035"/>
      <c r="R9" s="2035"/>
      <c r="S9" s="2035"/>
      <c r="T9" s="2035"/>
      <c r="U9" s="2035"/>
      <c r="V9" s="248"/>
      <c r="W9" s="248"/>
      <c r="X9" s="196"/>
      <c r="Y9" s="292"/>
      <c r="Z9" s="292"/>
      <c r="AA9" s="292"/>
      <c r="AB9" s="292"/>
      <c r="AC9" s="292"/>
    </row>
    <row r="10" spans="6:29" s="1781" customFormat="1" ht="22.5" customHeight="1">
      <c r="F10" s="1168"/>
      <c r="G10" s="1168"/>
      <c r="H10" s="1168"/>
      <c r="L10" s="1170"/>
      <c r="M10" s="209" t="s">
        <v>496</v>
      </c>
      <c r="N10" s="218"/>
      <c r="O10" s="2035" t="str">
        <f>IF(TITLE_NUMBER_PR_CHANGE="",IF(TITLE_NUMBER_PR="","",TITLE_NUMBER_PR),TITLE_NUMBER_PR_CHANGE)</f>
        <v/>
      </c>
      <c r="P10" s="2035"/>
      <c r="Q10" s="2035"/>
      <c r="R10" s="2035"/>
      <c r="S10" s="2035"/>
      <c r="T10" s="2035"/>
      <c r="U10" s="2035"/>
      <c r="V10" s="248"/>
      <c r="W10" s="248"/>
      <c r="X10" s="196"/>
      <c r="Y10" s="292"/>
      <c r="Z10" s="292"/>
      <c r="AA10" s="292"/>
      <c r="AB10" s="292"/>
      <c r="AC10" s="292"/>
    </row>
    <row r="11" spans="6:29" s="1781" customFormat="1" ht="22.5" customHeight="1">
      <c r="F11" s="1168"/>
      <c r="G11" s="1168"/>
      <c r="H11" s="1168"/>
      <c r="L11" s="1170"/>
      <c r="M11" s="209" t="s">
        <v>40</v>
      </c>
      <c r="N11" s="218"/>
      <c r="O11" s="2035" t="str">
        <f>IF(TITLE_IST_PUB_CHANGE="",IF(TITLE_IST_PUB="","",TITLE_IST_PUB),TITLE_IST_PUB_CHANGE)</f>
        <v/>
      </c>
      <c r="P11" s="2035"/>
      <c r="Q11" s="2035"/>
      <c r="R11" s="2035"/>
      <c r="S11" s="2035"/>
      <c r="T11" s="2035"/>
      <c r="U11" s="2035"/>
      <c r="V11" s="248"/>
      <c r="W11" s="248"/>
      <c r="X11" s="196"/>
      <c r="Y11" s="292"/>
      <c r="Z11" s="292"/>
      <c r="AA11" s="292"/>
      <c r="AB11" s="292"/>
      <c r="AC11" s="292"/>
    </row>
    <row r="12" spans="6:29" s="1781" customFormat="1" ht="11.25" hidden="1" customHeight="1">
      <c r="F12" s="1168"/>
      <c r="G12" s="1168"/>
      <c r="H12" s="1168"/>
      <c r="L12" s="2117"/>
      <c r="M12" s="2117"/>
      <c r="N12" s="1216"/>
      <c r="O12" s="248"/>
      <c r="P12" s="248"/>
      <c r="Q12" s="248"/>
      <c r="R12" s="248"/>
      <c r="S12" s="248"/>
      <c r="T12" s="248"/>
      <c r="U12" s="248"/>
      <c r="V12" s="194" t="s">
        <v>499</v>
      </c>
      <c r="Y12" s="292"/>
      <c r="Z12" s="292"/>
      <c r="AA12" s="292"/>
      <c r="AB12" s="292"/>
      <c r="AC12" s="292"/>
    </row>
    <row r="13" spans="6:29" ht="14.25" customHeight="1">
      <c r="J13" s="300"/>
      <c r="K13" s="300"/>
      <c r="L13" s="1205"/>
      <c r="M13" s="286"/>
      <c r="N13" s="1163"/>
      <c r="O13" s="2053"/>
      <c r="P13" s="2053"/>
      <c r="Q13" s="2053"/>
      <c r="R13" s="2053"/>
      <c r="S13" s="2053"/>
      <c r="T13" s="2053"/>
      <c r="U13" s="2053"/>
      <c r="V13" s="2053"/>
    </row>
    <row r="14" spans="6:29" ht="14.25" customHeight="1">
      <c r="J14" s="300"/>
      <c r="K14" s="300"/>
      <c r="L14" s="1840" t="s">
        <v>282</v>
      </c>
      <c r="M14" s="1840"/>
      <c r="N14" s="1840"/>
      <c r="O14" s="1840"/>
      <c r="P14" s="1840"/>
      <c r="Q14" s="1840"/>
      <c r="R14" s="1840"/>
      <c r="S14" s="1840"/>
      <c r="T14" s="1840"/>
      <c r="U14" s="1840"/>
      <c r="V14" s="1840"/>
      <c r="W14" s="1840"/>
      <c r="X14" s="1840" t="s">
        <v>283</v>
      </c>
    </row>
    <row r="15" spans="6:29" ht="14.25" customHeight="1">
      <c r="J15" s="300"/>
      <c r="K15" s="300"/>
      <c r="L15" s="2054" t="s">
        <v>87</v>
      </c>
      <c r="M15" s="1925" t="s">
        <v>500</v>
      </c>
      <c r="N15" s="215"/>
      <c r="O15" s="2055" t="s">
        <v>1581</v>
      </c>
      <c r="P15" s="2056"/>
      <c r="Q15" s="2056"/>
      <c r="R15" s="2056"/>
      <c r="S15" s="2056"/>
      <c r="T15" s="2056"/>
      <c r="U15" s="2057"/>
      <c r="V15" s="2058" t="s">
        <v>502</v>
      </c>
      <c r="W15" s="2061" t="s">
        <v>1582</v>
      </c>
      <c r="X15" s="1840"/>
    </row>
    <row r="16" spans="6:29" ht="33.75" customHeight="1">
      <c r="J16" s="300"/>
      <c r="K16" s="300"/>
      <c r="L16" s="2054"/>
      <c r="M16" s="1925"/>
      <c r="N16" s="947"/>
      <c r="O16" s="1894" t="s">
        <v>505</v>
      </c>
      <c r="P16" s="1894" t="s">
        <v>506</v>
      </c>
      <c r="Q16" s="1822" t="s">
        <v>507</v>
      </c>
      <c r="R16" s="1821"/>
      <c r="S16" s="1822" t="s">
        <v>526</v>
      </c>
      <c r="T16" s="1827"/>
      <c r="U16" s="1821"/>
      <c r="V16" s="2059"/>
      <c r="W16" s="2062"/>
      <c r="X16" s="1840"/>
    </row>
    <row r="17" spans="1:29" ht="33.75" customHeight="1">
      <c r="A17" s="1189" t="s">
        <v>130</v>
      </c>
      <c r="B17" s="1189" t="s">
        <v>131</v>
      </c>
      <c r="C17" s="1189" t="s">
        <v>132</v>
      </c>
      <c r="D17" s="1189" t="s">
        <v>133</v>
      </c>
      <c r="E17" s="1189"/>
      <c r="J17" s="300"/>
      <c r="K17" s="300"/>
      <c r="L17" s="2054"/>
      <c r="M17" s="1925"/>
      <c r="N17" s="216"/>
      <c r="O17" s="1950"/>
      <c r="P17" s="1950"/>
      <c r="Q17" s="1138" t="s">
        <v>516</v>
      </c>
      <c r="R17" s="1138" t="s">
        <v>517</v>
      </c>
      <c r="S17" s="1221" t="s">
        <v>518</v>
      </c>
      <c r="T17" s="1931" t="s">
        <v>519</v>
      </c>
      <c r="U17" s="1945"/>
      <c r="V17" s="2060"/>
      <c r="W17" s="2063"/>
      <c r="X17" s="1840"/>
    </row>
    <row r="18" spans="1:29" s="1566" customFormat="1" ht="11.25" customHeight="1">
      <c r="A18" s="1189"/>
      <c r="B18" s="1189"/>
      <c r="C18" s="1189"/>
      <c r="D18" s="1189"/>
      <c r="E18" s="1189"/>
      <c r="F18" s="1215"/>
      <c r="G18" s="1215"/>
      <c r="H18" s="1215"/>
      <c r="I18" s="1165"/>
      <c r="J18" s="1166"/>
      <c r="K18" s="1181">
        <v>1</v>
      </c>
      <c r="L18" s="1207" t="s">
        <v>105</v>
      </c>
      <c r="M18" s="1182" t="s">
        <v>106</v>
      </c>
      <c r="N18" s="1164" t="str">
        <f ca="1">OFFSET(N18,0,-1)</f>
        <v>2</v>
      </c>
      <c r="O18" s="1218">
        <f ca="1">OFFSET(O18,0,-1)+1</f>
        <v>3</v>
      </c>
      <c r="P18" s="1218"/>
      <c r="Q18" s="1218">
        <f ca="1">OFFSET(Q18,0,-1)+1</f>
        <v>1</v>
      </c>
      <c r="R18" s="1218">
        <f ca="1">OFFSET(R18,0,-1)+1</f>
        <v>2</v>
      </c>
      <c r="S18" s="1218">
        <f ca="1">OFFSET(S18,0,-1)+1</f>
        <v>3</v>
      </c>
      <c r="T18" s="2052">
        <f ca="1">OFFSET(T18,0,-1)+1</f>
        <v>4</v>
      </c>
      <c r="U18" s="2052"/>
      <c r="V18" s="1218">
        <f ca="1">OFFSET(V18,0,-2)+1</f>
        <v>5</v>
      </c>
      <c r="W18" s="1164">
        <f ca="1">OFFSET(W18,0,-1)</f>
        <v>5</v>
      </c>
      <c r="X18" s="1218">
        <f ca="1">OFFSET(X18,0,-1)+1</f>
        <v>6</v>
      </c>
      <c r="Y18" s="437"/>
      <c r="Z18" s="437"/>
      <c r="AA18" s="437"/>
      <c r="AB18" s="437"/>
      <c r="AC18" s="437"/>
    </row>
    <row r="19" spans="1:29" ht="21" customHeight="1">
      <c r="A19" s="1196" t="s">
        <v>1591</v>
      </c>
      <c r="B19" s="1196" t="s">
        <v>1592</v>
      </c>
      <c r="C19" s="1196" t="s">
        <v>1593</v>
      </c>
      <c r="D19" s="1196" t="s">
        <v>1594</v>
      </c>
      <c r="E19" s="1196"/>
      <c r="F19" s="608"/>
      <c r="G19" s="608"/>
      <c r="H19" s="608"/>
      <c r="I19" s="282"/>
      <c r="J19" s="281"/>
      <c r="K19" s="276"/>
      <c r="L19" s="1222" t="e">
        <f>INDEX(PT_DIFFERENTIATION_NUM_NTAR,MATCH(A19,PT_DIFFERENTIATION_NTAR_ID,0))</f>
        <v>#N/A</v>
      </c>
      <c r="M19" s="212" t="s">
        <v>119</v>
      </c>
      <c r="N19" s="214"/>
      <c r="O19" s="2112" t="e">
        <f>INDEX(PT_DIFFERENTIATION_NTAR,MATCH(A19,PT_DIFFERENTIATION_NTAR_ID,0))</f>
        <v>#N/A</v>
      </c>
      <c r="P19" s="2112"/>
      <c r="Q19" s="2112"/>
      <c r="R19" s="2112"/>
      <c r="S19" s="2112"/>
      <c r="T19" s="2112"/>
      <c r="U19" s="2112"/>
      <c r="V19" s="2112"/>
      <c r="W19" s="2112"/>
      <c r="X19" s="1187" t="s">
        <v>471</v>
      </c>
      <c r="Z19" s="426"/>
      <c r="AA19" s="426" t="str">
        <f t="shared" ref="AA19:AA32" si="0">IF(M19="","",M19)</f>
        <v>Наименование тарифа</v>
      </c>
      <c r="AB19" s="426"/>
      <c r="AC19" s="426"/>
    </row>
    <row r="20" spans="1:29" ht="21" customHeight="1">
      <c r="A20" s="1196" t="s">
        <v>1591</v>
      </c>
      <c r="B20" s="1196" t="s">
        <v>1592</v>
      </c>
      <c r="C20" s="1196" t="s">
        <v>1593</v>
      </c>
      <c r="D20" s="1196" t="s">
        <v>1594</v>
      </c>
      <c r="E20" s="1196"/>
      <c r="F20" s="608"/>
      <c r="G20" s="608"/>
      <c r="H20" s="608"/>
      <c r="I20" s="1219"/>
      <c r="J20" s="273"/>
      <c r="K20" s="274"/>
      <c r="L20" s="1222" t="e">
        <f>INDEX(PT_DIFFERENTIATION_NUM_TER,MATCH(B19,PT_DIFFERENTIATION_TER_ID,0))</f>
        <v>#N/A</v>
      </c>
      <c r="M20" s="224" t="s">
        <v>472</v>
      </c>
      <c r="N20" s="214"/>
      <c r="O20" s="2112" t="e">
        <f>INDEX(PT_DIFFERENTIATION_TER,MATCH(B19,PT_DIFFERENTIATION_TER_ID,0))</f>
        <v>#N/A</v>
      </c>
      <c r="P20" s="2112"/>
      <c r="Q20" s="2112"/>
      <c r="R20" s="2112"/>
      <c r="S20" s="2112"/>
      <c r="T20" s="2112"/>
      <c r="U20" s="2112"/>
      <c r="V20" s="2112"/>
      <c r="W20" s="2112"/>
      <c r="X20" s="1187" t="s">
        <v>473</v>
      </c>
      <c r="Z20" s="426"/>
      <c r="AA20" s="426" t="str">
        <f t="shared" si="0"/>
        <v>Территория действия тарифа</v>
      </c>
      <c r="AB20" s="426"/>
      <c r="AC20" s="426"/>
    </row>
    <row r="21" spans="1:29" ht="22.5" customHeight="1">
      <c r="A21" s="1196" t="s">
        <v>1591</v>
      </c>
      <c r="B21" s="1196" t="s">
        <v>1592</v>
      </c>
      <c r="C21" s="1196" t="s">
        <v>1593</v>
      </c>
      <c r="D21" s="1196" t="s">
        <v>1594</v>
      </c>
      <c r="E21" s="1196"/>
      <c r="F21" s="608"/>
      <c r="G21" s="608"/>
      <c r="H21" s="608"/>
      <c r="I21" s="275"/>
      <c r="J21" s="273"/>
      <c r="K21" s="274"/>
      <c r="L21" s="1222" t="e">
        <f>INDEX(PT_DIFFERENTIATION_NUM_CS,MATCH(C19,PT_DIFFERENTIATION_CS_ID,0))</f>
        <v>#N/A</v>
      </c>
      <c r="M21" s="225" t="s">
        <v>474</v>
      </c>
      <c r="N21" s="214"/>
      <c r="O21" s="2112" t="e">
        <f>INDEX(PT_DIFFERENTIATION_CS,MATCH(C19,PT_DIFFERENTIATION_CS_ID,0))</f>
        <v>#N/A</v>
      </c>
      <c r="P21" s="2112"/>
      <c r="Q21" s="2112"/>
      <c r="R21" s="2112"/>
      <c r="S21" s="2112"/>
      <c r="T21" s="2112"/>
      <c r="U21" s="2112"/>
      <c r="V21" s="2112"/>
      <c r="W21" s="2112"/>
      <c r="X21" s="1187" t="s">
        <v>475</v>
      </c>
      <c r="Z21" s="426"/>
      <c r="AA21" s="426" t="str">
        <f t="shared" si="0"/>
        <v xml:space="preserve">Наименование системы теплоснабжения </v>
      </c>
      <c r="AB21" s="426"/>
      <c r="AC21" s="426"/>
    </row>
    <row r="22" spans="1:29" ht="21" customHeight="1">
      <c r="A22" s="1196" t="s">
        <v>1591</v>
      </c>
      <c r="B22" s="1196" t="s">
        <v>1592</v>
      </c>
      <c r="C22" s="1196" t="s">
        <v>1593</v>
      </c>
      <c r="D22" s="1196" t="s">
        <v>1594</v>
      </c>
      <c r="E22" s="1196"/>
      <c r="F22" s="608"/>
      <c r="G22" s="608"/>
      <c r="H22" s="608"/>
      <c r="I22" s="275"/>
      <c r="J22" s="273"/>
      <c r="K22" s="274"/>
      <c r="L22" s="1222" t="e">
        <f>INDEX(PT_DIFFERENTIATION_NUM_IST_TE,MATCH(D19,PT_DIFFERENTIATION_IST_TE_ID,0))</f>
        <v>#N/A</v>
      </c>
      <c r="M22" s="226" t="s">
        <v>476</v>
      </c>
      <c r="N22" s="214"/>
      <c r="O22" s="2112" t="e">
        <f>INDEX(PT_DIFFERENTIATION_IST_TE,MATCH(D19,PT_DIFFERENTIATION_IST_TE_ID,0))</f>
        <v>#N/A</v>
      </c>
      <c r="P22" s="2112"/>
      <c r="Q22" s="2112"/>
      <c r="R22" s="2112"/>
      <c r="S22" s="2112"/>
      <c r="T22" s="2112"/>
      <c r="U22" s="2112"/>
      <c r="V22" s="2112"/>
      <c r="W22" s="2112"/>
      <c r="X22" s="1187" t="s">
        <v>477</v>
      </c>
      <c r="Z22" s="426"/>
      <c r="AA22" s="426" t="str">
        <f t="shared" si="0"/>
        <v xml:space="preserve">Источник тепловой энергии  </v>
      </c>
      <c r="AB22" s="426"/>
      <c r="AC22" s="426"/>
    </row>
    <row r="23" spans="1:29" ht="94.5" customHeight="1">
      <c r="A23" s="1196" t="s">
        <v>1591</v>
      </c>
      <c r="B23" s="1196" t="s">
        <v>1592</v>
      </c>
      <c r="C23" s="1196" t="s">
        <v>1593</v>
      </c>
      <c r="D23" s="1196" t="s">
        <v>1594</v>
      </c>
      <c r="E23" s="1196"/>
      <c r="F23" s="1825" t="e">
        <f>L22&amp;".1"</f>
        <v>#N/A</v>
      </c>
      <c r="I23" s="1961">
        <v>1</v>
      </c>
      <c r="J23" s="1220"/>
      <c r="K23" s="277"/>
      <c r="L23" s="1222" t="e">
        <f>$F$23</f>
        <v>#N/A</v>
      </c>
      <c r="M23" s="200" t="s">
        <v>479</v>
      </c>
      <c r="N23" s="214"/>
      <c r="O23" s="2113"/>
      <c r="P23" s="2113"/>
      <c r="Q23" s="2113"/>
      <c r="R23" s="2113"/>
      <c r="S23" s="2113"/>
      <c r="T23" s="2113"/>
      <c r="U23" s="2113"/>
      <c r="V23" s="2113"/>
      <c r="W23" s="2113"/>
      <c r="X23" s="1187" t="s">
        <v>480</v>
      </c>
      <c r="Z23" s="426"/>
      <c r="AA23" s="426" t="str">
        <f t="shared" si="0"/>
        <v>Схема подключения теплопотребляющей установки к коллектору источника тепловой энергии</v>
      </c>
      <c r="AB23" s="426"/>
      <c r="AC23" s="426"/>
    </row>
    <row r="24" spans="1:29" ht="84" customHeight="1">
      <c r="A24" s="1196" t="s">
        <v>1591</v>
      </c>
      <c r="B24" s="1196" t="s">
        <v>1592</v>
      </c>
      <c r="C24" s="1196" t="s">
        <v>1593</v>
      </c>
      <c r="D24" s="1196" t="s">
        <v>1594</v>
      </c>
      <c r="E24" s="1196"/>
      <c r="F24" s="1825"/>
      <c r="G24" s="1825" t="e">
        <f>F23&amp;".1"</f>
        <v>#N/A</v>
      </c>
      <c r="I24" s="1961"/>
      <c r="J24" s="1961">
        <v>1</v>
      </c>
      <c r="K24" s="278"/>
      <c r="L24" s="1222" t="e">
        <f>$G$24</f>
        <v>#N/A</v>
      </c>
      <c r="M24" s="201" t="s">
        <v>482</v>
      </c>
      <c r="N24" s="214"/>
      <c r="O24" s="2114"/>
      <c r="P24" s="2115"/>
      <c r="Q24" s="2115"/>
      <c r="R24" s="2115"/>
      <c r="S24" s="2115"/>
      <c r="T24" s="2115"/>
      <c r="U24" s="2115"/>
      <c r="V24" s="2115"/>
      <c r="W24" s="2116"/>
      <c r="X24" s="1187" t="s">
        <v>483</v>
      </c>
      <c r="Z24" s="426"/>
      <c r="AA24" s="426" t="str">
        <f t="shared" si="0"/>
        <v>Группа потребителей</v>
      </c>
      <c r="AB24" s="426"/>
      <c r="AC24" s="426"/>
    </row>
    <row r="25" spans="1:29" ht="11.25" customHeight="1">
      <c r="A25" s="1196" t="s">
        <v>1591</v>
      </c>
      <c r="B25" s="1196" t="s">
        <v>1592</v>
      </c>
      <c r="C25" s="1196" t="s">
        <v>1593</v>
      </c>
      <c r="D25" s="1196" t="s">
        <v>1594</v>
      </c>
      <c r="E25" s="1196"/>
      <c r="F25" s="1825"/>
      <c r="G25" s="1825"/>
      <c r="H25" s="1825" t="e">
        <f>G24&amp;".1"</f>
        <v>#N/A</v>
      </c>
      <c r="I25" s="1961"/>
      <c r="J25" s="1961"/>
      <c r="K25" s="278">
        <v>1</v>
      </c>
      <c r="L25" s="1222" t="e">
        <f>$H$25</f>
        <v>#N/A</v>
      </c>
      <c r="M25" s="1188"/>
      <c r="N25" s="214"/>
      <c r="O25" s="669"/>
      <c r="P25" s="246"/>
      <c r="Q25" s="669"/>
      <c r="R25" s="1186"/>
      <c r="S25" s="2046"/>
      <c r="T25" s="1850" t="s">
        <v>58</v>
      </c>
      <c r="U25" s="2046"/>
      <c r="V25" s="1850" t="s">
        <v>56</v>
      </c>
      <c r="W25" s="246"/>
      <c r="X25" s="2064" t="s">
        <v>485</v>
      </c>
      <c r="Y25" s="437" t="e">
        <f ca="1">STRCHECKDATE(O26:W26)</f>
        <v>#NAME?</v>
      </c>
      <c r="Z25" s="426"/>
      <c r="AA25" s="426" t="str">
        <f t="shared" si="0"/>
        <v/>
      </c>
      <c r="AB25" s="426"/>
      <c r="AC25" s="426"/>
    </row>
    <row r="26" spans="1:29" ht="11.25" customHeight="1">
      <c r="A26" s="1196" t="s">
        <v>1591</v>
      </c>
      <c r="B26" s="1196" t="s">
        <v>1592</v>
      </c>
      <c r="C26" s="1196" t="s">
        <v>1593</v>
      </c>
      <c r="D26" s="1196" t="s">
        <v>1594</v>
      </c>
      <c r="E26" s="1196"/>
      <c r="F26" s="1825"/>
      <c r="G26" s="1825"/>
      <c r="H26" s="1825"/>
      <c r="I26" s="1961"/>
      <c r="J26" s="1961"/>
      <c r="K26" s="278"/>
      <c r="L26" s="1223"/>
      <c r="M26" s="214"/>
      <c r="N26" s="214"/>
      <c r="O26" s="246"/>
      <c r="P26" s="246"/>
      <c r="Q26" s="246"/>
      <c r="R26" s="250" t="str">
        <f>S25&amp;"-"&amp;U25</f>
        <v>-</v>
      </c>
      <c r="S26" s="2047"/>
      <c r="T26" s="1850"/>
      <c r="U26" s="2047"/>
      <c r="V26" s="1850"/>
      <c r="W26" s="246"/>
      <c r="X26" s="2065"/>
      <c r="Z26" s="426"/>
      <c r="AA26" s="426" t="str">
        <f t="shared" si="0"/>
        <v/>
      </c>
      <c r="AB26" s="426"/>
      <c r="AC26" s="426"/>
    </row>
    <row r="27" spans="1:29" ht="15" customHeight="1">
      <c r="A27" s="1196" t="s">
        <v>1591</v>
      </c>
      <c r="B27" s="1196" t="s">
        <v>1592</v>
      </c>
      <c r="C27" s="1196" t="s">
        <v>1593</v>
      </c>
      <c r="D27" s="1196" t="s">
        <v>1594</v>
      </c>
      <c r="E27" s="1196"/>
      <c r="F27" s="1825"/>
      <c r="G27" s="1825"/>
      <c r="I27" s="1961"/>
      <c r="J27" s="1961"/>
      <c r="K27" s="277"/>
      <c r="L27" s="1208"/>
      <c r="M27" s="203" t="s">
        <v>486</v>
      </c>
      <c r="N27" s="291"/>
      <c r="O27" s="291"/>
      <c r="P27" s="291"/>
      <c r="Q27" s="291"/>
      <c r="R27" s="291"/>
      <c r="S27" s="291"/>
      <c r="T27" s="291"/>
      <c r="U27" s="291"/>
      <c r="V27" s="291"/>
      <c r="W27" s="245"/>
      <c r="X27" s="2066"/>
      <c r="Z27" s="426"/>
      <c r="AA27" s="426" t="str">
        <f t="shared" si="0"/>
        <v>Добавить вид теплоносителя (параметры теплоносителя)</v>
      </c>
      <c r="AB27" s="426"/>
      <c r="AC27" s="426"/>
    </row>
    <row r="28" spans="1:29" ht="15" customHeight="1">
      <c r="A28" s="1196" t="s">
        <v>1591</v>
      </c>
      <c r="B28" s="1196" t="s">
        <v>1592</v>
      </c>
      <c r="C28" s="1196" t="s">
        <v>1593</v>
      </c>
      <c r="D28" s="1196" t="s">
        <v>1594</v>
      </c>
      <c r="E28" s="1196"/>
      <c r="F28" s="1825"/>
      <c r="I28" s="1961"/>
      <c r="J28" s="1220"/>
      <c r="K28" s="277"/>
      <c r="L28" s="1208"/>
      <c r="M28" s="202" t="s">
        <v>487</v>
      </c>
      <c r="N28" s="291"/>
      <c r="O28" s="291"/>
      <c r="P28" s="291"/>
      <c r="Q28" s="291"/>
      <c r="R28" s="291"/>
      <c r="S28" s="291"/>
      <c r="T28" s="291"/>
      <c r="U28" s="291"/>
      <c r="V28" s="290"/>
      <c r="W28" s="291"/>
      <c r="X28" s="217"/>
      <c r="Z28" s="426"/>
      <c r="AA28" s="426" t="str">
        <f t="shared" si="0"/>
        <v>Добавить группу потребителей</v>
      </c>
      <c r="AB28" s="426"/>
      <c r="AC28" s="426"/>
    </row>
    <row r="29" spans="1:29" ht="14.25" customHeight="1">
      <c r="A29" s="1196" t="s">
        <v>1591</v>
      </c>
      <c r="B29" s="1196" t="s">
        <v>1592</v>
      </c>
      <c r="C29" s="1196" t="s">
        <v>1593</v>
      </c>
      <c r="D29" s="1196" t="s">
        <v>1594</v>
      </c>
      <c r="E29" s="1196"/>
      <c r="F29" s="608"/>
      <c r="G29" s="608"/>
      <c r="H29" s="435"/>
      <c r="I29" s="281"/>
      <c r="J29" s="299"/>
      <c r="K29" s="276"/>
      <c r="L29" s="1208"/>
      <c r="M29" s="288" t="s">
        <v>488</v>
      </c>
      <c r="N29" s="291"/>
      <c r="O29" s="291"/>
      <c r="P29" s="291"/>
      <c r="Q29" s="291"/>
      <c r="R29" s="291"/>
      <c r="S29" s="291"/>
      <c r="T29" s="291"/>
      <c r="U29" s="291"/>
      <c r="V29" s="290"/>
      <c r="W29" s="291"/>
      <c r="X29" s="217"/>
      <c r="Z29" s="426"/>
      <c r="AA29" s="426" t="str">
        <f t="shared" si="0"/>
        <v>Добавить схему подключения</v>
      </c>
      <c r="AB29" s="426"/>
      <c r="AC29" s="426"/>
    </row>
    <row r="30" spans="1:29" ht="14.25" customHeight="1">
      <c r="A30" s="1196" t="s">
        <v>1591</v>
      </c>
      <c r="B30" s="1196" t="s">
        <v>1592</v>
      </c>
      <c r="C30" s="1196" t="s">
        <v>1593</v>
      </c>
      <c r="D30" s="1196"/>
      <c r="E30" s="1196" t="s">
        <v>1583</v>
      </c>
      <c r="F30" s="608"/>
      <c r="G30" s="608"/>
      <c r="H30" s="435"/>
      <c r="I30" s="281"/>
      <c r="J30" s="299"/>
      <c r="K30" s="276"/>
      <c r="L30" s="1209"/>
      <c r="M30" s="1198"/>
      <c r="N30" s="1199"/>
      <c r="O30" s="1199"/>
      <c r="P30" s="1199"/>
      <c r="Q30" s="1199"/>
      <c r="R30" s="1199"/>
      <c r="S30" s="1199"/>
      <c r="T30" s="1199"/>
      <c r="U30" s="1199"/>
      <c r="V30" s="1200"/>
      <c r="W30" s="1199"/>
      <c r="X30" s="1201"/>
      <c r="Z30" s="426"/>
      <c r="AA30" s="426" t="str">
        <f t="shared" si="0"/>
        <v/>
      </c>
      <c r="AB30" s="426"/>
      <c r="AC30" s="426"/>
    </row>
    <row r="31" spans="1:29" ht="14.25" customHeight="1">
      <c r="A31" s="1196" t="s">
        <v>1591</v>
      </c>
      <c r="B31" s="1196" t="s">
        <v>1592</v>
      </c>
      <c r="C31" s="1196"/>
      <c r="D31" s="1196"/>
      <c r="E31" s="1196" t="s">
        <v>1584</v>
      </c>
      <c r="F31" s="1184"/>
      <c r="G31" s="1184"/>
      <c r="H31" s="435"/>
      <c r="I31" s="279"/>
      <c r="J31" s="299"/>
      <c r="K31" s="280"/>
      <c r="L31" s="1209"/>
      <c r="M31" s="1202"/>
      <c r="N31" s="1199"/>
      <c r="O31" s="1199"/>
      <c r="P31" s="1199"/>
      <c r="Q31" s="1199"/>
      <c r="R31" s="1199"/>
      <c r="S31" s="1199"/>
      <c r="T31" s="1199"/>
      <c r="U31" s="1199"/>
      <c r="V31" s="1200"/>
      <c r="W31" s="1199"/>
      <c r="X31" s="1201"/>
      <c r="Z31" s="426"/>
      <c r="AA31" s="426" t="str">
        <f t="shared" si="0"/>
        <v/>
      </c>
      <c r="AB31" s="426"/>
      <c r="AC31" s="426"/>
    </row>
    <row r="32" spans="1:29" ht="14.25" customHeight="1">
      <c r="A32" s="1196" t="s">
        <v>1595</v>
      </c>
      <c r="B32" s="1196"/>
      <c r="C32" s="1196"/>
      <c r="D32" s="1196"/>
      <c r="E32" s="1196" t="s">
        <v>100</v>
      </c>
      <c r="F32" s="1184"/>
      <c r="G32" s="1184"/>
      <c r="H32" s="435"/>
      <c r="I32" s="281"/>
      <c r="J32" s="299"/>
      <c r="K32" s="276"/>
      <c r="L32" s="1209"/>
      <c r="M32" s="1203"/>
      <c r="N32" s="1199"/>
      <c r="O32" s="1199"/>
      <c r="P32" s="1199"/>
      <c r="Q32" s="1199"/>
      <c r="R32" s="1199"/>
      <c r="S32" s="1199"/>
      <c r="T32" s="1199"/>
      <c r="U32" s="1199"/>
      <c r="V32" s="1200"/>
      <c r="W32" s="1199"/>
      <c r="X32" s="1201"/>
      <c r="Z32" s="426"/>
      <c r="AA32" s="426" t="str">
        <f t="shared" si="0"/>
        <v/>
      </c>
      <c r="AB32" s="426"/>
      <c r="AC32" s="426"/>
    </row>
    <row r="33" spans="1:29" s="1796" customFormat="1" ht="11.25" customHeight="1">
      <c r="A33" s="1196"/>
      <c r="B33" s="1196"/>
      <c r="C33" s="1196"/>
      <c r="D33" s="1196"/>
      <c r="E33" s="1196" t="s">
        <v>448</v>
      </c>
      <c r="F33" s="1197"/>
      <c r="G33" s="1185"/>
      <c r="H33" s="435"/>
      <c r="L33" s="1210"/>
      <c r="M33" s="1204"/>
      <c r="N33" s="1199"/>
      <c r="O33" s="1199"/>
      <c r="P33" s="1199"/>
      <c r="Q33" s="1199"/>
      <c r="R33" s="1199"/>
      <c r="S33" s="1199"/>
      <c r="T33" s="1199"/>
      <c r="U33" s="1199"/>
      <c r="V33" s="1200"/>
      <c r="W33" s="1199"/>
      <c r="X33" s="1201"/>
      <c r="Y33" s="306"/>
      <c r="Z33" s="306"/>
      <c r="AA33" s="306"/>
      <c r="AB33" s="306"/>
      <c r="AC33" s="306"/>
    </row>
    <row r="34" spans="1:29" ht="11.25" customHeight="1">
      <c r="F34" s="1065"/>
      <c r="G34" s="1065"/>
      <c r="H34" s="435"/>
      <c r="I34" s="1065"/>
      <c r="J34" s="1065"/>
      <c r="K34" s="1065"/>
      <c r="Y34" s="1065"/>
      <c r="Z34" s="1065"/>
      <c r="AA34" s="1065"/>
      <c r="AB34" s="1065"/>
      <c r="AC34" s="1065"/>
    </row>
    <row r="35" spans="1:29" ht="27" customHeight="1">
      <c r="H35" s="435"/>
      <c r="L35" s="1217" t="s">
        <v>520</v>
      </c>
      <c r="M35" s="2041" t="s">
        <v>527</v>
      </c>
      <c r="N35" s="2041"/>
      <c r="O35" s="2041"/>
      <c r="P35" s="2041"/>
      <c r="Q35" s="2041"/>
      <c r="R35" s="2041"/>
      <c r="S35" s="2041"/>
      <c r="T35" s="2041"/>
      <c r="U35" s="2041"/>
      <c r="V35" s="2041"/>
      <c r="W35" s="2041"/>
      <c r="X35" s="2041"/>
    </row>
    <row r="36" spans="1:29" ht="104.25" customHeight="1">
      <c r="F36" s="1232"/>
      <c r="G36" s="1232"/>
      <c r="H36" s="435"/>
      <c r="I36" s="1232"/>
      <c r="M36" s="2041" t="s">
        <v>522</v>
      </c>
      <c r="N36" s="2041"/>
      <c r="O36" s="2041"/>
      <c r="P36" s="2041"/>
      <c r="Q36" s="2041"/>
      <c r="R36" s="2041"/>
      <c r="S36" s="2041"/>
      <c r="T36" s="2041"/>
      <c r="U36" s="2041"/>
      <c r="V36" s="2041"/>
      <c r="W36" s="2041"/>
      <c r="X36" s="2041"/>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9765625" defaultRowHeight="14.25" customHeight="1"/>
  <cols>
    <col min="1" max="6" width="10.59765625" style="1567"/>
    <col min="7" max="8" width="9.09765625" style="436" customWidth="1"/>
    <col min="9" max="9" width="3.69921875" style="1794" customWidth="1"/>
    <col min="10" max="11" width="3.69921875" style="265" customWidth="1"/>
    <col min="12" max="12" width="12.69921875" style="1560" customWidth="1"/>
    <col min="13" max="13" width="47.3984375" style="1560" customWidth="1"/>
    <col min="14" max="14" width="2.69921875" style="1560" hidden="1" customWidth="1"/>
    <col min="15" max="18" width="23.69921875" style="1560" customWidth="1"/>
    <col min="19" max="19" width="11.69921875" style="1560" customWidth="1"/>
    <col min="20" max="20" width="3.69921875" style="1560" customWidth="1"/>
    <col min="21" max="21" width="11.69921875" style="1560" customWidth="1"/>
    <col min="22" max="22" width="8.59765625" style="1560" hidden="1" customWidth="1"/>
    <col min="23" max="23" width="4.69921875" style="1560" customWidth="1"/>
    <col min="24" max="24" width="115.69921875" style="1560" customWidth="1"/>
    <col min="25" max="29" width="10.59765625" style="1567"/>
  </cols>
  <sheetData>
    <row r="1" spans="1:29" ht="14.25" hidden="1" customHeight="1"/>
    <row r="2" spans="1:29" ht="14.25" hidden="1" customHeight="1"/>
    <row r="3" spans="1:29" ht="14.25" hidden="1" customHeight="1"/>
    <row r="4" spans="1:29" ht="14.25" customHeight="1">
      <c r="J4" s="300"/>
      <c r="K4" s="300"/>
      <c r="L4" s="286"/>
      <c r="M4" s="286"/>
      <c r="N4" s="286"/>
      <c r="O4" s="435"/>
      <c r="P4" s="435"/>
      <c r="Q4" s="435"/>
      <c r="R4" s="435"/>
      <c r="S4" s="435"/>
      <c r="T4" s="435"/>
      <c r="U4" s="435"/>
      <c r="V4" s="286"/>
    </row>
    <row r="5" spans="1:29" ht="14.25" customHeight="1">
      <c r="J5" s="300"/>
      <c r="K5" s="300"/>
      <c r="L5" s="2122" t="s">
        <v>1596</v>
      </c>
      <c r="M5" s="2122"/>
      <c r="N5" s="2122"/>
      <c r="O5" s="2122"/>
      <c r="P5" s="2122"/>
      <c r="Q5" s="2122"/>
      <c r="R5" s="2122"/>
      <c r="S5" s="2122"/>
      <c r="T5" s="2122"/>
      <c r="U5" s="192"/>
      <c r="V5" s="192"/>
    </row>
    <row r="6" spans="1:29" ht="14.25" customHeight="1">
      <c r="J6" s="300"/>
      <c r="K6" s="300"/>
      <c r="L6" s="286"/>
      <c r="M6" s="286"/>
      <c r="N6" s="286"/>
      <c r="O6" s="242"/>
      <c r="P6" s="242"/>
      <c r="Q6" s="242"/>
      <c r="R6" s="242"/>
      <c r="S6" s="242"/>
      <c r="T6" s="242"/>
      <c r="U6" s="286"/>
    </row>
    <row r="7" spans="1:29" s="1781" customFormat="1" ht="22.5" customHeight="1">
      <c r="A7" s="292"/>
      <c r="B7" s="292"/>
      <c r="C7" s="292"/>
      <c r="D7" s="292"/>
      <c r="E7" s="292"/>
      <c r="F7" s="292"/>
      <c r="G7" s="292"/>
      <c r="H7" s="292"/>
      <c r="L7" s="193"/>
      <c r="M7" s="209" t="s">
        <v>39</v>
      </c>
      <c r="N7" s="218"/>
      <c r="O7" s="2123" t="e">
        <f>IF(NameOrPr_ch="",IF(NameOrPr="","",NameOrPr),NameOrPr_ch)</f>
        <v>#NAME?</v>
      </c>
      <c r="P7" s="2124"/>
      <c r="Q7" s="2124"/>
      <c r="R7" s="2124"/>
      <c r="S7" s="2124"/>
      <c r="T7" s="2125"/>
      <c r="U7" s="1167"/>
      <c r="Y7" s="292"/>
      <c r="Z7" s="292"/>
      <c r="AA7" s="292"/>
      <c r="AB7" s="292"/>
      <c r="AC7" s="292"/>
    </row>
    <row r="8" spans="1:29" s="1781" customFormat="1" ht="18.75" customHeight="1">
      <c r="A8" s="292"/>
      <c r="B8" s="292"/>
      <c r="C8" s="292"/>
      <c r="D8" s="292"/>
      <c r="E8" s="292"/>
      <c r="F8" s="292"/>
      <c r="G8" s="292"/>
      <c r="H8" s="292"/>
      <c r="L8" s="193"/>
      <c r="M8" s="209" t="s">
        <v>495</v>
      </c>
      <c r="N8" s="218"/>
      <c r="O8" s="2123" t="e">
        <f>IF(datePr_ch="",IF(datePr="","",datePr),datePr_ch)</f>
        <v>#NAME?</v>
      </c>
      <c r="P8" s="2124"/>
      <c r="Q8" s="2124"/>
      <c r="R8" s="2124"/>
      <c r="S8" s="2124"/>
      <c r="T8" s="2125"/>
      <c r="U8" s="1167"/>
      <c r="Y8" s="292"/>
      <c r="Z8" s="292"/>
      <c r="AA8" s="292"/>
      <c r="AB8" s="292"/>
      <c r="AC8" s="292"/>
    </row>
    <row r="9" spans="1:29" s="1781" customFormat="1" ht="18.75" customHeight="1">
      <c r="A9" s="292"/>
      <c r="B9" s="292"/>
      <c r="C9" s="292"/>
      <c r="D9" s="292"/>
      <c r="E9" s="292"/>
      <c r="F9" s="292"/>
      <c r="G9" s="292"/>
      <c r="H9" s="292"/>
      <c r="L9" s="244"/>
      <c r="M9" s="209" t="s">
        <v>496</v>
      </c>
      <c r="N9" s="218"/>
      <c r="O9" s="2123" t="e">
        <f>IF(numberPr_ch="",IF(numberPr="","",numberPr),numberPr_ch)</f>
        <v>#NAME?</v>
      </c>
      <c r="P9" s="2124"/>
      <c r="Q9" s="2124"/>
      <c r="R9" s="2124"/>
      <c r="S9" s="2124"/>
      <c r="T9" s="2125"/>
      <c r="U9" s="1167"/>
      <c r="Y9" s="292"/>
      <c r="Z9" s="292"/>
      <c r="AA9" s="292"/>
      <c r="AB9" s="292"/>
      <c r="AC9" s="292"/>
    </row>
    <row r="10" spans="1:29" s="1781" customFormat="1" ht="18.75" customHeight="1">
      <c r="A10" s="292"/>
      <c r="B10" s="292"/>
      <c r="C10" s="292"/>
      <c r="D10" s="292"/>
      <c r="E10" s="292"/>
      <c r="F10" s="292"/>
      <c r="G10" s="292"/>
      <c r="H10" s="292"/>
      <c r="L10" s="244"/>
      <c r="M10" s="209" t="s">
        <v>40</v>
      </c>
      <c r="N10" s="218"/>
      <c r="O10" s="2123" t="e">
        <f>IF(IstPub_ch="",IF(IstPub="","",IstPub),IstPub_ch)</f>
        <v>#NAME?</v>
      </c>
      <c r="P10" s="2124"/>
      <c r="Q10" s="2124"/>
      <c r="R10" s="2124"/>
      <c r="S10" s="2124"/>
      <c r="T10" s="2125"/>
      <c r="U10" s="1167"/>
      <c r="Y10" s="292"/>
      <c r="Z10" s="292"/>
      <c r="AA10" s="292"/>
      <c r="AB10" s="292"/>
      <c r="AC10" s="292"/>
    </row>
    <row r="11" spans="1:29" s="1781" customFormat="1" ht="18.75" hidden="1" customHeight="1">
      <c r="A11" s="1171"/>
      <c r="B11" s="1171"/>
      <c r="C11" s="1171"/>
      <c r="D11" s="1171"/>
      <c r="E11" s="1171"/>
      <c r="F11" s="1171"/>
      <c r="G11" s="1171"/>
      <c r="H11" s="1171"/>
      <c r="L11" s="244"/>
      <c r="M11" s="241"/>
      <c r="O11" s="1172"/>
      <c r="P11" s="1172"/>
      <c r="Q11" s="292" t="s">
        <v>1597</v>
      </c>
      <c r="R11" s="292" t="s">
        <v>1598</v>
      </c>
      <c r="S11" s="1172"/>
      <c r="T11" s="1172"/>
      <c r="U11" s="1167"/>
      <c r="Y11" s="1171"/>
      <c r="Z11" s="1171"/>
      <c r="AA11" s="1171"/>
      <c r="AB11" s="1171"/>
      <c r="AC11" s="1171"/>
    </row>
    <row r="12" spans="1:29" s="1781" customFormat="1" ht="11.25" hidden="1" customHeight="1">
      <c r="A12" s="292"/>
      <c r="B12" s="292"/>
      <c r="C12" s="292"/>
      <c r="D12" s="292"/>
      <c r="E12" s="292"/>
      <c r="F12" s="292"/>
      <c r="G12" s="292"/>
      <c r="H12" s="292"/>
      <c r="L12" s="2117"/>
      <c r="M12" s="2117"/>
      <c r="N12" s="1134"/>
      <c r="O12" s="248"/>
      <c r="P12" s="248"/>
      <c r="Q12" s="248"/>
      <c r="R12" s="248"/>
      <c r="S12" s="248"/>
      <c r="T12" s="248"/>
      <c r="U12" s="1170"/>
      <c r="V12" s="194" t="s">
        <v>499</v>
      </c>
      <c r="Y12" s="292"/>
      <c r="Z12" s="292"/>
      <c r="AA12" s="292"/>
      <c r="AB12" s="292"/>
      <c r="AC12" s="292"/>
    </row>
    <row r="13" spans="1:29" ht="14.25" customHeight="1">
      <c r="J13" s="300"/>
      <c r="K13" s="300"/>
      <c r="L13" s="286"/>
      <c r="M13" s="286"/>
      <c r="N13" s="286"/>
      <c r="O13" s="1173"/>
      <c r="P13" s="1173"/>
      <c r="Q13" s="2120"/>
      <c r="R13" s="2120"/>
      <c r="S13" s="2120"/>
      <c r="T13" s="2120"/>
      <c r="U13" s="2120"/>
      <c r="V13" s="2120"/>
    </row>
    <row r="14" spans="1:29" ht="14.25" customHeight="1">
      <c r="J14" s="300"/>
      <c r="K14" s="300"/>
      <c r="L14" s="1840" t="s">
        <v>282</v>
      </c>
      <c r="M14" s="1840"/>
      <c r="N14" s="1840"/>
      <c r="O14" s="1840"/>
      <c r="P14" s="1840"/>
      <c r="Q14" s="1840"/>
      <c r="R14" s="1840"/>
      <c r="S14" s="1840"/>
      <c r="T14" s="1840"/>
      <c r="U14" s="1840"/>
      <c r="V14" s="1840"/>
      <c r="W14" s="1840"/>
      <c r="X14" s="1840" t="s">
        <v>283</v>
      </c>
    </row>
    <row r="15" spans="1:29" ht="14.25" customHeight="1">
      <c r="J15" s="300"/>
      <c r="K15" s="300"/>
      <c r="L15" s="1925" t="s">
        <v>87</v>
      </c>
      <c r="M15" s="1925" t="s">
        <v>1599</v>
      </c>
      <c r="N15" s="1133"/>
      <c r="O15" s="1925" t="s">
        <v>1600</v>
      </c>
      <c r="P15" s="1924" t="s">
        <v>1601</v>
      </c>
      <c r="Q15" s="1924" t="s">
        <v>1581</v>
      </c>
      <c r="R15" s="1924"/>
      <c r="S15" s="1924"/>
      <c r="T15" s="1924"/>
      <c r="U15" s="1924"/>
      <c r="V15" s="1925" t="s">
        <v>502</v>
      </c>
      <c r="W15" s="2121" t="s">
        <v>1582</v>
      </c>
      <c r="X15" s="1840"/>
    </row>
    <row r="16" spans="1:29" ht="25.5" customHeight="1">
      <c r="J16" s="300"/>
      <c r="K16" s="300"/>
      <c r="L16" s="1925"/>
      <c r="M16" s="1925"/>
      <c r="N16" s="1133"/>
      <c r="O16" s="1925"/>
      <c r="P16" s="1924"/>
      <c r="Q16" s="1924" t="s">
        <v>1602</v>
      </c>
      <c r="R16" s="1924"/>
      <c r="S16" s="1840" t="s">
        <v>526</v>
      </c>
      <c r="T16" s="1840"/>
      <c r="U16" s="1840"/>
      <c r="V16" s="1925"/>
      <c r="W16" s="2121"/>
      <c r="X16" s="1840"/>
    </row>
    <row r="17" spans="1:29" ht="14.25" customHeight="1">
      <c r="J17" s="300"/>
      <c r="K17" s="300"/>
      <c r="L17" s="1925"/>
      <c r="M17" s="1925"/>
      <c r="N17" s="1133"/>
      <c r="O17" s="1925"/>
      <c r="P17" s="1924"/>
      <c r="Q17" s="1133" t="s">
        <v>563</v>
      </c>
      <c r="R17" s="1133" t="s">
        <v>564</v>
      </c>
      <c r="S17" s="1137" t="s">
        <v>518</v>
      </c>
      <c r="T17" s="1892" t="s">
        <v>519</v>
      </c>
      <c r="U17" s="1892"/>
      <c r="V17" s="1925"/>
      <c r="W17" s="2121"/>
      <c r="X17" s="1840"/>
    </row>
    <row r="18" spans="1:29" ht="14.25" customHeight="1">
      <c r="J18" s="300"/>
      <c r="K18" s="206">
        <v>1</v>
      </c>
      <c r="L18" s="376" t="s">
        <v>105</v>
      </c>
      <c r="M18" s="376" t="s">
        <v>106</v>
      </c>
      <c r="N18" s="1169" t="s">
        <v>106</v>
      </c>
      <c r="O18" s="1135">
        <f t="shared" ref="O18:T18" ca="1" si="0">OFFSET(O18,0,-1)+1</f>
        <v>3</v>
      </c>
      <c r="P18" s="1135">
        <f t="shared" ca="1" si="0"/>
        <v>4</v>
      </c>
      <c r="Q18" s="1135">
        <f t="shared" ca="1" si="0"/>
        <v>5</v>
      </c>
      <c r="R18" s="1135">
        <f t="shared" ca="1" si="0"/>
        <v>6</v>
      </c>
      <c r="S18" s="1135">
        <f t="shared" ca="1" si="0"/>
        <v>7</v>
      </c>
      <c r="T18" s="2118">
        <f t="shared" ca="1" si="0"/>
        <v>8</v>
      </c>
      <c r="U18" s="2118"/>
      <c r="V18" s="1135">
        <f ca="1">OFFSET(V18,0,-2)+1</f>
        <v>9</v>
      </c>
      <c r="X18" s="1135">
        <f ca="1">OFFSET(X18,0,-2)+1</f>
        <v>10</v>
      </c>
    </row>
    <row r="19" spans="1:29" ht="22.5" customHeight="1">
      <c r="A19" s="1961">
        <v>1</v>
      </c>
      <c r="B19" s="444"/>
      <c r="C19" s="444"/>
      <c r="D19" s="444"/>
      <c r="E19" s="444"/>
      <c r="F19" s="444"/>
      <c r="G19" s="307"/>
      <c r="H19" s="307"/>
      <c r="I19" s="282"/>
      <c r="J19" s="300"/>
      <c r="K19" s="300"/>
      <c r="L19" s="1142" t="e">
        <f ca="1">MERGEVALUE(A19)</f>
        <v>#NAME?</v>
      </c>
      <c r="M19" s="212" t="s">
        <v>119</v>
      </c>
      <c r="N19" s="231"/>
      <c r="O19" s="2119"/>
      <c r="P19" s="2119"/>
      <c r="Q19" s="2119"/>
      <c r="R19" s="2119"/>
      <c r="S19" s="2119"/>
      <c r="T19" s="2119"/>
      <c r="U19" s="2119"/>
      <c r="V19" s="2119"/>
      <c r="W19" s="2119"/>
      <c r="X19" s="266" t="s">
        <v>471</v>
      </c>
    </row>
    <row r="20" spans="1:29" ht="22.5" customHeight="1">
      <c r="A20" s="1961"/>
      <c r="B20" s="1961">
        <v>1</v>
      </c>
      <c r="C20" s="444"/>
      <c r="D20" s="444"/>
      <c r="E20" s="444"/>
      <c r="F20" s="444"/>
      <c r="G20" s="309"/>
      <c r="H20" s="1136"/>
      <c r="I20" s="284"/>
      <c r="J20" s="1143"/>
      <c r="K20" s="1065"/>
      <c r="L20" s="1142" t="e">
        <f ca="1">MERGEVALUE(A20)&amp;"."&amp;MERGEVALUE(B20)</f>
        <v>#NAME?</v>
      </c>
      <c r="M20" s="224" t="s">
        <v>472</v>
      </c>
      <c r="N20" s="231"/>
      <c r="O20" s="2119"/>
      <c r="P20" s="2119"/>
      <c r="Q20" s="2119"/>
      <c r="R20" s="2119"/>
      <c r="S20" s="2119"/>
      <c r="T20" s="2119"/>
      <c r="U20" s="2119"/>
      <c r="V20" s="2119"/>
      <c r="W20" s="2119"/>
      <c r="X20" s="266" t="s">
        <v>473</v>
      </c>
    </row>
    <row r="21" spans="1:29" ht="22.5" customHeight="1">
      <c r="A21" s="1961"/>
      <c r="B21" s="1961"/>
      <c r="C21" s="1961">
        <v>1</v>
      </c>
      <c r="D21" s="444"/>
      <c r="E21" s="444"/>
      <c r="F21" s="444"/>
      <c r="G21" s="309"/>
      <c r="H21" s="1136"/>
      <c r="I21" s="285"/>
      <c r="J21" s="1143"/>
      <c r="K21" s="1065"/>
      <c r="L21" s="1142" t="e">
        <f ca="1">MERGEVALUE(A21)&amp;"."&amp;MERGEVALUE(B21)&amp;"."&amp;MERGEVALUE(C21)</f>
        <v>#NAME?</v>
      </c>
      <c r="M21" s="225" t="s">
        <v>474</v>
      </c>
      <c r="N21" s="231"/>
      <c r="O21" s="2119"/>
      <c r="P21" s="2119"/>
      <c r="Q21" s="2119"/>
      <c r="R21" s="2119"/>
      <c r="S21" s="2119"/>
      <c r="T21" s="2119"/>
      <c r="U21" s="2119"/>
      <c r="V21" s="2119"/>
      <c r="W21" s="2119"/>
      <c r="X21" s="266" t="s">
        <v>475</v>
      </c>
    </row>
    <row r="22" spans="1:29" ht="14.25" customHeight="1">
      <c r="A22" s="1961"/>
      <c r="B22" s="1961"/>
      <c r="C22" s="1961"/>
      <c r="D22" s="1961">
        <v>1</v>
      </c>
      <c r="E22" s="444"/>
      <c r="F22" s="444"/>
      <c r="G22" s="309"/>
      <c r="H22" s="1136"/>
      <c r="I22" s="285"/>
      <c r="J22" s="283"/>
      <c r="K22" s="1065"/>
      <c r="L22" s="1142" t="e">
        <f ca="1">MERGEVALUE(A22)&amp;"."&amp;MERGEVALUE(B22)&amp;"."&amp;MERGEVALUE(C22)&amp;"."&amp;MERGEVALUE(D22)</f>
        <v>#NAME?</v>
      </c>
      <c r="M22" s="226" t="s">
        <v>476</v>
      </c>
      <c r="N22" s="231"/>
      <c r="O22" s="2119"/>
      <c r="P22" s="2119"/>
      <c r="Q22" s="2119"/>
      <c r="R22" s="2119"/>
      <c r="S22" s="2119"/>
      <c r="T22" s="2119"/>
      <c r="U22" s="2119"/>
      <c r="V22" s="2119"/>
      <c r="W22" s="2119"/>
      <c r="X22" s="259" t="s">
        <v>1603</v>
      </c>
    </row>
    <row r="23" spans="1:29" ht="22.5" customHeight="1">
      <c r="A23" s="1961"/>
      <c r="B23" s="1961"/>
      <c r="C23" s="1961"/>
      <c r="D23" s="1961"/>
      <c r="E23" s="444">
        <v>1</v>
      </c>
      <c r="F23" s="444"/>
      <c r="G23" s="309"/>
      <c r="H23" s="1136"/>
      <c r="I23" s="285"/>
      <c r="J23" s="283"/>
      <c r="K23" s="378"/>
      <c r="L23" s="1142" t="e">
        <f ca="1">MERGEVALUE(A23)&amp;"."&amp;MERGEVALUE(B23)&amp;"."&amp;MERGEVALUE(C23)&amp;"."&amp;MERGEVALUE(D23)&amp;"."&amp;MERGEVALUE(E23)</f>
        <v>#NAME?</v>
      </c>
      <c r="M23" s="302"/>
      <c r="N23" s="1139"/>
      <c r="O23" s="304"/>
      <c r="P23" s="305"/>
      <c r="Q23" s="219"/>
      <c r="R23" s="219"/>
      <c r="S23" s="1658"/>
      <c r="T23" s="1132" t="s">
        <v>56</v>
      </c>
      <c r="U23" s="1175"/>
      <c r="V23" s="1132" t="s">
        <v>56</v>
      </c>
      <c r="W23" s="1176"/>
      <c r="X23" s="1884" t="s">
        <v>1604</v>
      </c>
      <c r="Y23" s="437" t="e">
        <f ca="1">STRCHECKDATETWO(N23:W23)</f>
        <v>#NAME?</v>
      </c>
    </row>
    <row r="24" spans="1:29" ht="14.25" hidden="1" customHeight="1">
      <c r="A24" s="1961"/>
      <c r="B24" s="1961"/>
      <c r="C24" s="1961"/>
      <c r="D24" s="1961"/>
      <c r="E24" s="444"/>
      <c r="F24" s="444"/>
      <c r="G24" s="309"/>
      <c r="H24" s="1136"/>
      <c r="I24" s="285"/>
      <c r="J24" s="283"/>
      <c r="K24" s="378"/>
      <c r="L24" s="1141"/>
      <c r="M24" s="227"/>
      <c r="N24" s="214"/>
      <c r="O24" s="214"/>
      <c r="P24" s="214"/>
      <c r="Q24" s="214"/>
      <c r="R24" s="250" t="str">
        <f>S23&amp;"-"&amp;U23</f>
        <v>-</v>
      </c>
      <c r="S24" s="235"/>
      <c r="T24" s="232"/>
      <c r="U24" s="235"/>
      <c r="V24" s="214"/>
      <c r="W24" s="1177"/>
      <c r="X24" s="1885"/>
    </row>
    <row r="25" spans="1:29" ht="14.25" customHeight="1">
      <c r="A25" s="1961"/>
      <c r="B25" s="1961"/>
      <c r="C25" s="1961"/>
      <c r="D25" s="1961"/>
      <c r="E25" s="444"/>
      <c r="F25" s="444"/>
      <c r="G25" s="309"/>
      <c r="H25" s="1136"/>
      <c r="I25" s="285"/>
      <c r="J25" s="283"/>
      <c r="K25" s="378"/>
      <c r="L25" s="223"/>
      <c r="M25" s="288" t="s">
        <v>552</v>
      </c>
      <c r="N25" s="287"/>
      <c r="O25" s="243"/>
      <c r="P25" s="243"/>
      <c r="Q25" s="243"/>
      <c r="R25" s="243"/>
      <c r="S25" s="247"/>
      <c r="T25" s="291"/>
      <c r="U25" s="290"/>
      <c r="V25" s="287"/>
      <c r="W25" s="287"/>
      <c r="X25" s="1886"/>
    </row>
    <row r="26" spans="1:29" s="1796" customFormat="1" ht="14.25" customHeight="1">
      <c r="A26" s="1961"/>
      <c r="B26" s="1961"/>
      <c r="C26" s="1961"/>
      <c r="D26" s="308"/>
      <c r="E26" s="308"/>
      <c r="F26" s="308"/>
      <c r="G26" s="309"/>
      <c r="H26" s="308"/>
      <c r="I26" s="285"/>
      <c r="J26" s="299"/>
      <c r="K26" s="301"/>
      <c r="L26" s="223"/>
      <c r="M26" s="296" t="s">
        <v>1583</v>
      </c>
      <c r="N26" s="287"/>
      <c r="O26" s="243"/>
      <c r="P26" s="243"/>
      <c r="Q26" s="243"/>
      <c r="R26" s="243"/>
      <c r="S26" s="247"/>
      <c r="T26" s="291"/>
      <c r="U26" s="290"/>
      <c r="V26" s="287"/>
      <c r="W26" s="291"/>
      <c r="X26" s="1178"/>
      <c r="Y26" s="306"/>
      <c r="Z26" s="306"/>
      <c r="AA26" s="306"/>
      <c r="AB26" s="306"/>
      <c r="AC26" s="306"/>
    </row>
    <row r="27" spans="1:29" s="1796" customFormat="1" ht="14.25" customHeight="1">
      <c r="A27" s="1961"/>
      <c r="B27" s="1961"/>
      <c r="C27" s="308"/>
      <c r="D27" s="308"/>
      <c r="E27" s="308"/>
      <c r="F27" s="308"/>
      <c r="G27" s="309"/>
      <c r="H27" s="308"/>
      <c r="I27" s="281"/>
      <c r="J27" s="299"/>
      <c r="K27" s="301"/>
      <c r="L27" s="223"/>
      <c r="M27" s="287" t="s">
        <v>1584</v>
      </c>
      <c r="N27" s="287"/>
      <c r="O27" s="243"/>
      <c r="P27" s="243"/>
      <c r="Q27" s="243"/>
      <c r="R27" s="243"/>
      <c r="S27" s="247"/>
      <c r="T27" s="291"/>
      <c r="U27" s="290"/>
      <c r="V27" s="287"/>
      <c r="W27" s="291"/>
      <c r="X27" s="245"/>
      <c r="Y27" s="306"/>
      <c r="Z27" s="306"/>
      <c r="AA27" s="306"/>
      <c r="AB27" s="306"/>
      <c r="AC27" s="306"/>
    </row>
    <row r="28" spans="1:29" s="1796" customFormat="1" ht="14.25" customHeight="1">
      <c r="A28" s="1961"/>
      <c r="B28" s="308"/>
      <c r="C28" s="308"/>
      <c r="D28" s="308"/>
      <c r="E28" s="308"/>
      <c r="F28" s="308"/>
      <c r="G28" s="309"/>
      <c r="H28" s="308"/>
      <c r="I28" s="281"/>
      <c r="J28" s="299"/>
      <c r="K28" s="301"/>
      <c r="L28" s="223"/>
      <c r="M28" s="345" t="s">
        <v>100</v>
      </c>
      <c r="N28" s="287"/>
      <c r="O28" s="243"/>
      <c r="P28" s="243"/>
      <c r="Q28" s="243"/>
      <c r="R28" s="243"/>
      <c r="S28" s="247"/>
      <c r="T28" s="291"/>
      <c r="U28" s="290"/>
      <c r="V28" s="287"/>
      <c r="W28" s="291"/>
      <c r="X28" s="245"/>
      <c r="Y28" s="306"/>
      <c r="Z28" s="306"/>
      <c r="AA28" s="306"/>
      <c r="AB28" s="306"/>
      <c r="AC28" s="306"/>
    </row>
    <row r="29" spans="1:29" s="1796" customFormat="1" ht="14.25" customHeight="1">
      <c r="G29" s="289"/>
      <c r="H29" s="301"/>
      <c r="I29" s="298"/>
      <c r="J29" s="299"/>
      <c r="L29" s="223"/>
      <c r="M29" s="346" t="s">
        <v>448</v>
      </c>
      <c r="N29" s="287"/>
      <c r="O29" s="243"/>
      <c r="P29" s="243"/>
      <c r="Q29" s="243"/>
      <c r="R29" s="243"/>
      <c r="S29" s="247"/>
      <c r="T29" s="291"/>
      <c r="U29" s="290"/>
      <c r="V29" s="287"/>
      <c r="W29" s="291"/>
      <c r="X29" s="245"/>
      <c r="Y29" s="306"/>
      <c r="Z29" s="306"/>
      <c r="AA29" s="306"/>
      <c r="AB29" s="306"/>
      <c r="AC29" s="306"/>
    </row>
    <row r="31" spans="1:29" ht="14.25" customHeight="1">
      <c r="L31" s="1">
        <v>1</v>
      </c>
      <c r="M31" s="2041" t="s">
        <v>1605</v>
      </c>
      <c r="N31" s="2041"/>
      <c r="O31" s="2041"/>
      <c r="P31" s="2041"/>
      <c r="Q31" s="2041"/>
      <c r="R31" s="2041"/>
      <c r="S31" s="2041"/>
      <c r="T31" s="2041"/>
      <c r="U31" s="2041"/>
      <c r="V31" s="2041"/>
      <c r="W31" s="2041"/>
      <c r="X31" s="2041"/>
      <c r="Y31" s="1179"/>
      <c r="Z31" s="293"/>
      <c r="AA31" s="293"/>
      <c r="AB31" s="293"/>
      <c r="AC31" s="293"/>
    </row>
    <row r="32" spans="1:29" ht="14.25" customHeight="1">
      <c r="M32" s="1180"/>
      <c r="N32" s="1180"/>
      <c r="O32" s="1180"/>
      <c r="P32" s="1180"/>
      <c r="Q32" s="1180"/>
      <c r="R32" s="1180"/>
      <c r="S32" s="1180"/>
      <c r="T32" s="1180"/>
      <c r="U32" s="1180"/>
      <c r="V32" s="1180"/>
      <c r="W32" s="1180"/>
      <c r="X32" s="1180"/>
      <c r="Y32" s="436"/>
      <c r="Z32" s="436"/>
      <c r="AA32" s="436"/>
      <c r="AB32" s="436"/>
      <c r="AC32" s="436"/>
    </row>
  </sheetData>
  <sheetProtection formatColumns="0" formatRows="0" insertRows="0" deleteColumns="0" deleteRows="0" sort="0" autoFilter="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9765625" defaultRowHeight="14.25" customHeight="1"/>
  <cols>
    <col min="1" max="1" width="9.09765625" style="1704" hidden="1" customWidth="1"/>
    <col min="2" max="2" width="9.09765625" style="1292" hidden="1" customWidth="1"/>
    <col min="3" max="3" width="3.69921875" style="265" customWidth="1"/>
    <col min="4" max="4" width="6.296875" style="1560" customWidth="1"/>
    <col min="5" max="5" width="63.3984375" style="1560" customWidth="1"/>
    <col min="6" max="6" width="1.69921875" style="1560" hidden="1" customWidth="1"/>
    <col min="7" max="8" width="35.69921875" style="1560" customWidth="1"/>
    <col min="9" max="9" width="91.59765625" style="1560" customWidth="1"/>
    <col min="10" max="10" width="68.796875" style="1560" customWidth="1"/>
    <col min="11" max="12" width="10.59765625" style="1549"/>
  </cols>
  <sheetData>
    <row r="1" spans="1:12" ht="14.25" hidden="1" customHeight="1"/>
    <row r="2" spans="1:12" s="1560" customFormat="1" ht="18.75" hidden="1" customHeight="1">
      <c r="A2" s="1608"/>
      <c r="B2" s="1070"/>
      <c r="C2" s="1654" t="s">
        <v>332</v>
      </c>
      <c r="D2" s="1598"/>
      <c r="E2" s="116"/>
      <c r="F2" s="1595"/>
      <c r="G2" s="1595" t="s">
        <v>288</v>
      </c>
      <c r="H2" s="1071"/>
      <c r="K2" s="1549"/>
      <c r="L2" s="1549"/>
    </row>
    <row r="3" spans="1:12" s="1560" customFormat="1" ht="14.25" hidden="1" customHeight="1">
      <c r="A3" s="1288"/>
      <c r="B3" s="1070"/>
      <c r="C3" s="265"/>
      <c r="K3" s="1549"/>
      <c r="L3" s="1549"/>
    </row>
    <row r="4" spans="1:12" s="1560" customFormat="1" ht="18.75" hidden="1" customHeight="1">
      <c r="A4" s="1608"/>
      <c r="B4" s="1070"/>
      <c r="C4" s="1654" t="s">
        <v>332</v>
      </c>
      <c r="D4" s="1598"/>
      <c r="E4" s="122" t="s">
        <v>1606</v>
      </c>
      <c r="F4" s="1595"/>
      <c r="G4" s="172"/>
      <c r="H4" s="1595" t="s">
        <v>288</v>
      </c>
      <c r="K4" s="1549"/>
      <c r="L4" s="1549"/>
    </row>
    <row r="5" spans="1:12" s="1560" customFormat="1" ht="14.25" hidden="1" customHeight="1">
      <c r="A5" s="1288"/>
      <c r="B5" s="1070"/>
      <c r="C5" s="265"/>
      <c r="K5" s="1549"/>
      <c r="L5" s="1549"/>
    </row>
    <row r="6" spans="1:12" s="1560" customFormat="1" ht="18.75" hidden="1" customHeight="1">
      <c r="A6" s="1608"/>
      <c r="B6" s="1070"/>
      <c r="C6" s="1654" t="s">
        <v>332</v>
      </c>
      <c r="D6" s="1598"/>
      <c r="E6" s="123" t="s">
        <v>1607</v>
      </c>
      <c r="F6" s="1595"/>
      <c r="G6" s="172"/>
      <c r="H6" s="1595" t="s">
        <v>288</v>
      </c>
      <c r="K6" s="1549"/>
      <c r="L6" s="1549"/>
    </row>
    <row r="7" spans="1:12" s="1560" customFormat="1" ht="14.25" hidden="1" customHeight="1">
      <c r="A7" s="1288"/>
      <c r="B7" s="1070"/>
      <c r="C7" s="265"/>
      <c r="K7" s="1549"/>
      <c r="L7" s="1549"/>
    </row>
    <row r="8" spans="1:12" s="1560" customFormat="1" ht="18.75" hidden="1" customHeight="1">
      <c r="A8" s="1608"/>
      <c r="B8" s="1070"/>
      <c r="C8" s="1654" t="s">
        <v>332</v>
      </c>
      <c r="D8" s="1598"/>
      <c r="E8" s="123" t="s">
        <v>1608</v>
      </c>
      <c r="F8" s="1595"/>
      <c r="G8" s="172"/>
      <c r="H8" s="1595" t="s">
        <v>288</v>
      </c>
      <c r="K8" s="1549"/>
      <c r="L8" s="1549"/>
    </row>
    <row r="9" spans="1:12" s="1560" customFormat="1" ht="14.25" hidden="1" customHeight="1">
      <c r="A9" s="1288"/>
      <c r="B9" s="1070"/>
      <c r="C9" s="265"/>
      <c r="K9" s="1549"/>
      <c r="L9" s="1549"/>
    </row>
    <row r="10" spans="1:12" s="1560" customFormat="1" ht="18.75" hidden="1" customHeight="1">
      <c r="A10" s="1608"/>
      <c r="B10" s="1070"/>
      <c r="C10" s="1654" t="s">
        <v>332</v>
      </c>
      <c r="D10" s="1598"/>
      <c r="E10" s="123" t="s">
        <v>1609</v>
      </c>
      <c r="F10" s="1595"/>
      <c r="G10" s="1599"/>
      <c r="H10" s="1595" t="s">
        <v>288</v>
      </c>
      <c r="K10" s="1549"/>
      <c r="L10" s="1549" t="s">
        <v>1610</v>
      </c>
    </row>
    <row r="11" spans="1:12" ht="14.25" hidden="1" customHeight="1"/>
    <row r="12" spans="1:12" ht="14.25" hidden="1" customHeight="1"/>
    <row r="13" spans="1:12" ht="14.25" customHeight="1">
      <c r="C13" s="26"/>
      <c r="D13" s="15"/>
      <c r="E13" s="15"/>
      <c r="F13" s="15"/>
      <c r="G13" s="15"/>
      <c r="H13" s="16"/>
      <c r="I13" s="16"/>
    </row>
    <row r="14" spans="1:12" ht="30" customHeight="1">
      <c r="C14" s="26"/>
      <c r="D14" s="1833" t="str">
        <f>PROCEDURE_TC_NAME_FORM</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E14" s="1834"/>
      <c r="F14" s="1834"/>
      <c r="G14" s="1834"/>
      <c r="H14" s="1835"/>
      <c r="J14" s="1556"/>
    </row>
    <row r="15" spans="1:12" s="1560" customFormat="1" ht="14.25" customHeight="1">
      <c r="A15" s="1288"/>
      <c r="B15" s="1070"/>
      <c r="C15" s="300"/>
      <c r="D15" s="1940" t="str">
        <f>IF(org=0,"Не определено",org)</f>
        <v>НАО "СВЕЗА Мантурово"</v>
      </c>
      <c r="E15" s="1941"/>
      <c r="F15" s="1941"/>
      <c r="G15" s="1941"/>
      <c r="H15" s="1942"/>
      <c r="J15" s="770"/>
      <c r="K15" s="1549"/>
      <c r="L15" s="1549"/>
    </row>
    <row r="16" spans="1:12" ht="14.25" customHeight="1">
      <c r="C16" s="26"/>
      <c r="D16" s="15"/>
      <c r="E16" s="25"/>
      <c r="F16" s="25"/>
      <c r="G16" s="25"/>
      <c r="H16" s="671"/>
      <c r="I16" s="110"/>
    </row>
    <row r="17" spans="1:12" s="1560" customFormat="1" ht="14.25" hidden="1" customHeight="1">
      <c r="A17" s="1288"/>
      <c r="B17" s="1070"/>
      <c r="C17" s="300"/>
      <c r="D17" s="286"/>
      <c r="E17" s="318"/>
      <c r="F17" s="318"/>
      <c r="G17" s="318"/>
      <c r="H17" s="671"/>
      <c r="I17" s="110"/>
      <c r="K17" s="1549"/>
      <c r="L17" s="1549"/>
    </row>
    <row r="18" spans="1:12" ht="21" customHeight="1">
      <c r="C18" s="26"/>
      <c r="D18" s="1925" t="s">
        <v>282</v>
      </c>
      <c r="E18" s="1925"/>
      <c r="F18" s="1925"/>
      <c r="G18" s="1925"/>
      <c r="H18" s="1925"/>
      <c r="I18" s="2029" t="s">
        <v>283</v>
      </c>
    </row>
    <row r="19" spans="1:12" ht="21" customHeight="1">
      <c r="C19" s="26"/>
      <c r="D19" s="32" t="s">
        <v>87</v>
      </c>
      <c r="E19" s="35" t="s">
        <v>284</v>
      </c>
      <c r="F19" s="35"/>
      <c r="G19" s="35" t="s">
        <v>285</v>
      </c>
      <c r="H19" s="35" t="s">
        <v>392</v>
      </c>
      <c r="I19" s="2029"/>
    </row>
    <row r="20" spans="1:12" ht="12" customHeight="1">
      <c r="C20" s="26"/>
      <c r="D20" s="18" t="s">
        <v>105</v>
      </c>
      <c r="E20" s="18" t="s">
        <v>106</v>
      </c>
      <c r="F20" s="18"/>
      <c r="G20" s="18" t="s">
        <v>89</v>
      </c>
      <c r="H20" s="18" t="s">
        <v>90</v>
      </c>
      <c r="I20" s="18" t="s">
        <v>107</v>
      </c>
    </row>
    <row r="21" spans="1:12" ht="14.25" customHeight="1">
      <c r="A21" s="1608"/>
      <c r="C21" s="26"/>
      <c r="D21" s="67">
        <v>1</v>
      </c>
      <c r="E21" s="2126" t="s">
        <v>1611</v>
      </c>
      <c r="F21" s="2126"/>
      <c r="G21" s="2126"/>
      <c r="H21" s="2126"/>
      <c r="I21" s="125"/>
    </row>
    <row r="22" spans="1:12" ht="20.25" customHeight="1">
      <c r="A22" s="1608"/>
      <c r="C22" s="26"/>
      <c r="D22" s="67" t="s">
        <v>441</v>
      </c>
      <c r="E22" s="111" t="s">
        <v>1612</v>
      </c>
      <c r="F22" s="115"/>
      <c r="G22" s="1661"/>
      <c r="H22" s="115" t="s">
        <v>288</v>
      </c>
      <c r="I22" s="71" t="s">
        <v>1613</v>
      </c>
    </row>
    <row r="23" spans="1:12" ht="45" customHeight="1">
      <c r="A23" s="1608"/>
      <c r="C23" s="26"/>
      <c r="D23" s="67" t="s">
        <v>456</v>
      </c>
      <c r="E23" s="111" t="s">
        <v>1614</v>
      </c>
      <c r="F23" s="115"/>
      <c r="G23" s="172"/>
      <c r="H23" s="130"/>
      <c r="I23" s="173" t="s">
        <v>1615</v>
      </c>
    </row>
    <row r="24" spans="1:12" ht="14.25" customHeight="1">
      <c r="A24" s="1608"/>
      <c r="B24" s="66">
        <v>3</v>
      </c>
      <c r="C24" s="26"/>
      <c r="D24" s="67">
        <v>2</v>
      </c>
      <c r="E24" s="13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5"/>
      <c r="G24" s="115" t="s">
        <v>288</v>
      </c>
      <c r="H24" s="130"/>
      <c r="I24" s="174" t="s">
        <v>1572</v>
      </c>
    </row>
    <row r="25" spans="1:12" ht="46.5" customHeight="1">
      <c r="A25" s="1608"/>
      <c r="C25" s="26"/>
      <c r="D25" s="67">
        <v>3</v>
      </c>
      <c r="E25" s="212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126"/>
      <c r="G25" s="2126"/>
      <c r="H25" s="2126"/>
      <c r="I25" s="171"/>
    </row>
    <row r="26" spans="1:12" ht="14.25" customHeight="1">
      <c r="A26" s="1608"/>
      <c r="C26" s="26"/>
      <c r="D26" s="67" t="s">
        <v>311</v>
      </c>
      <c r="E26" s="116"/>
      <c r="F26" s="115"/>
      <c r="G26" s="115" t="s">
        <v>288</v>
      </c>
      <c r="H26" s="130"/>
      <c r="I26" s="1884" t="s">
        <v>1616</v>
      </c>
    </row>
    <row r="27" spans="1:12" ht="15" customHeight="1">
      <c r="A27" s="1608" t="s">
        <v>105</v>
      </c>
      <c r="C27" s="26"/>
      <c r="D27" s="36"/>
      <c r="E27" s="120" t="s">
        <v>464</v>
      </c>
      <c r="F27" s="121"/>
      <c r="G27" s="121"/>
      <c r="H27" s="118"/>
      <c r="I27" s="1886"/>
    </row>
    <row r="28" spans="1:12" ht="38.25" customHeight="1">
      <c r="A28" s="1608"/>
      <c r="B28" s="66">
        <v>3</v>
      </c>
      <c r="C28" s="26"/>
      <c r="D28" s="67">
        <v>4</v>
      </c>
      <c r="E28" s="212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126"/>
      <c r="G28" s="2126"/>
      <c r="H28" s="2126"/>
      <c r="I28" s="171"/>
    </row>
    <row r="29" spans="1:12" ht="20.25" customHeight="1">
      <c r="A29" s="1608"/>
      <c r="C29" s="26"/>
      <c r="D29" s="67" t="s">
        <v>1477</v>
      </c>
      <c r="E29" s="122" t="s">
        <v>1606</v>
      </c>
      <c r="F29" s="115"/>
      <c r="G29" s="172"/>
      <c r="H29" s="115" t="s">
        <v>288</v>
      </c>
      <c r="I29" s="1884" t="s">
        <v>1617</v>
      </c>
    </row>
    <row r="30" spans="1:12" ht="15" customHeight="1">
      <c r="A30" s="1608" t="s">
        <v>106</v>
      </c>
      <c r="C30" s="26"/>
      <c r="D30" s="36"/>
      <c r="E30" s="120" t="s">
        <v>464</v>
      </c>
      <c r="F30" s="121"/>
      <c r="G30" s="121"/>
      <c r="H30" s="118"/>
      <c r="I30" s="1886"/>
    </row>
    <row r="31" spans="1:12" ht="30" customHeight="1">
      <c r="A31" s="1608"/>
      <c r="B31" s="66">
        <v>3</v>
      </c>
      <c r="C31" s="26"/>
      <c r="D31" s="67">
        <v>5</v>
      </c>
      <c r="E31" s="212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126"/>
      <c r="G31" s="2126"/>
      <c r="H31" s="2126"/>
      <c r="I31" s="171"/>
    </row>
    <row r="32" spans="1:12" ht="26.25" customHeight="1">
      <c r="A32" s="1608"/>
      <c r="C32" s="26"/>
      <c r="D32" s="67" t="s">
        <v>300</v>
      </c>
      <c r="E32" s="21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127"/>
      <c r="G32" s="2127"/>
      <c r="H32" s="2127"/>
      <c r="I32" s="171"/>
    </row>
    <row r="33" spans="1:12" ht="14.25" customHeight="1">
      <c r="A33" s="1608"/>
      <c r="C33" s="26"/>
      <c r="D33" s="67" t="s">
        <v>1484</v>
      </c>
      <c r="E33" s="123" t="s">
        <v>1607</v>
      </c>
      <c r="F33" s="115"/>
      <c r="G33" s="172"/>
      <c r="H33" s="115" t="s">
        <v>288</v>
      </c>
      <c r="I33" s="1884" t="s">
        <v>1618</v>
      </c>
    </row>
    <row r="34" spans="1:12" ht="15" customHeight="1">
      <c r="A34" s="1608" t="s">
        <v>89</v>
      </c>
      <c r="C34" s="26"/>
      <c r="D34" s="36"/>
      <c r="E34" s="121" t="s">
        <v>464</v>
      </c>
      <c r="F34" s="117"/>
      <c r="G34" s="117"/>
      <c r="H34" s="118"/>
      <c r="I34" s="1886"/>
    </row>
    <row r="35" spans="1:12" ht="24" customHeight="1">
      <c r="A35" s="1608"/>
      <c r="C35" s="26"/>
      <c r="D35" s="67" t="s">
        <v>302</v>
      </c>
      <c r="E35" s="21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127"/>
      <c r="G35" s="2127"/>
      <c r="H35" s="2127"/>
      <c r="I35" s="171"/>
    </row>
    <row r="36" spans="1:12" ht="14.25" customHeight="1">
      <c r="A36" s="1608"/>
      <c r="C36" s="26"/>
      <c r="D36" s="67" t="s">
        <v>1619</v>
      </c>
      <c r="E36" s="123" t="s">
        <v>1608</v>
      </c>
      <c r="F36" s="115"/>
      <c r="G36" s="172"/>
      <c r="H36" s="115" t="s">
        <v>288</v>
      </c>
      <c r="I36" s="1862" t="s">
        <v>1620</v>
      </c>
    </row>
    <row r="37" spans="1:12" ht="15" customHeight="1">
      <c r="A37" s="1608" t="s">
        <v>90</v>
      </c>
      <c r="C37" s="26"/>
      <c r="D37" s="36"/>
      <c r="E37" s="121" t="s">
        <v>464</v>
      </c>
      <c r="F37" s="117"/>
      <c r="G37" s="117"/>
      <c r="H37" s="118"/>
      <c r="I37" s="1862"/>
    </row>
    <row r="38" spans="1:12" ht="26.25" customHeight="1">
      <c r="A38" s="1608"/>
      <c r="C38" s="26"/>
      <c r="D38" s="67" t="s">
        <v>305</v>
      </c>
      <c r="E38" s="21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127"/>
      <c r="G38" s="2127"/>
      <c r="H38" s="2127"/>
      <c r="I38" s="171"/>
    </row>
    <row r="39" spans="1:12" ht="14.25" customHeight="1">
      <c r="A39" s="1608"/>
      <c r="C39" s="26"/>
      <c r="D39" s="67" t="s">
        <v>1621</v>
      </c>
      <c r="E39" s="123" t="s">
        <v>1609</v>
      </c>
      <c r="F39" s="115"/>
      <c r="G39" s="124"/>
      <c r="H39" s="115" t="s">
        <v>288</v>
      </c>
      <c r="I39" s="1884" t="s">
        <v>1622</v>
      </c>
      <c r="L39" s="73" t="s">
        <v>1610</v>
      </c>
    </row>
    <row r="40" spans="1:12" ht="15" customHeight="1">
      <c r="A40" s="1608" t="s">
        <v>107</v>
      </c>
      <c r="C40" s="26"/>
      <c r="D40" s="36"/>
      <c r="E40" s="121" t="s">
        <v>464</v>
      </c>
      <c r="F40" s="117"/>
      <c r="G40" s="117"/>
      <c r="H40" s="118"/>
      <c r="I40" s="1886"/>
    </row>
    <row r="41" spans="1:12" s="1751" customFormat="1" ht="3" customHeight="1">
      <c r="A41" s="1608"/>
      <c r="K41" s="113"/>
      <c r="L41" s="113"/>
    </row>
    <row r="42" spans="1:12" ht="24.75" customHeight="1">
      <c r="D42" s="1606" t="s">
        <v>520</v>
      </c>
      <c r="E42" s="20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041"/>
      <c r="G42" s="2041"/>
      <c r="H42" s="2041"/>
      <c r="I42" s="2041"/>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794" hidden="1" customWidth="1"/>
    <col min="2" max="2" width="9.09765625" style="1292" hidden="1" customWidth="1"/>
    <col min="3" max="3" width="3.69921875" style="265" customWidth="1"/>
    <col min="4" max="4" width="6.296875" style="1560" customWidth="1"/>
    <col min="5" max="5" width="38.09765625" style="1560" customWidth="1"/>
    <col min="6" max="7" width="35.69921875" style="1560" customWidth="1"/>
    <col min="8" max="8" width="89.59765625" style="1560" customWidth="1"/>
    <col min="9" max="9" width="10.59765625" style="1560"/>
    <col min="10" max="11" width="10.59765625" style="1549"/>
    <col min="12" max="17" width="10.59765625" style="1560"/>
  </cols>
  <sheetData>
    <row r="1" spans="1:17" ht="14.25" hidden="1" customHeight="1">
      <c r="N1" s="170"/>
      <c r="O1" s="170"/>
      <c r="Q1" s="170"/>
    </row>
    <row r="2" spans="1:17" s="1560" customFormat="1" ht="18.75" hidden="1" customHeight="1">
      <c r="A2" s="30"/>
      <c r="B2" s="1070"/>
      <c r="C2" s="1654" t="s">
        <v>332</v>
      </c>
      <c r="D2" s="1598"/>
      <c r="E2" s="1607"/>
      <c r="F2" s="172"/>
      <c r="G2" s="1071"/>
      <c r="H2" s="297"/>
      <c r="I2" s="1549"/>
      <c r="J2" s="1549"/>
    </row>
    <row r="3" spans="1:17" ht="14.25" hidden="1" customHeight="1"/>
    <row r="4" spans="1:17" ht="6" customHeight="1">
      <c r="C4" s="300"/>
      <c r="D4" s="286"/>
      <c r="E4" s="286"/>
      <c r="F4" s="286"/>
      <c r="G4" s="16"/>
      <c r="H4" s="16"/>
    </row>
    <row r="5" spans="1:17" ht="54.75" customHeight="1">
      <c r="C5" s="300"/>
      <c r="D5" s="1833" t="str">
        <f>PURCH_NAME_FORM</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E5" s="1834"/>
      <c r="F5" s="1834"/>
      <c r="G5" s="1835"/>
      <c r="H5" s="181"/>
    </row>
    <row r="6" spans="1:17" s="1560" customFormat="1" ht="17.25" customHeight="1">
      <c r="A6" s="1594"/>
      <c r="B6" s="1070"/>
      <c r="C6" s="300"/>
      <c r="D6" s="1940" t="str">
        <f>IF(org=0,"Не определено",org)</f>
        <v>НАО "СВЕЗА Мантурово"</v>
      </c>
      <c r="E6" s="1941"/>
      <c r="F6" s="1941"/>
      <c r="G6" s="1942"/>
      <c r="H6" s="181"/>
      <c r="J6" s="1549"/>
      <c r="K6" s="1549"/>
    </row>
    <row r="7" spans="1:17" ht="14.25" customHeight="1">
      <c r="C7" s="300"/>
      <c r="D7" s="286"/>
      <c r="E7" s="318"/>
      <c r="F7" s="318"/>
      <c r="G7" s="671"/>
      <c r="H7" s="110"/>
    </row>
    <row r="8" spans="1:17" ht="14.25" customHeight="1">
      <c r="C8" s="300"/>
      <c r="D8" s="1925" t="s">
        <v>282</v>
      </c>
      <c r="E8" s="1925"/>
      <c r="F8" s="1925"/>
      <c r="G8" s="1925"/>
      <c r="H8" s="2029" t="s">
        <v>283</v>
      </c>
    </row>
    <row r="9" spans="1:17" ht="14.25" customHeight="1">
      <c r="C9" s="300"/>
      <c r="D9" s="315" t="s">
        <v>87</v>
      </c>
      <c r="E9" s="35" t="s">
        <v>284</v>
      </c>
      <c r="F9" s="35" t="s">
        <v>285</v>
      </c>
      <c r="G9" s="35" t="s">
        <v>392</v>
      </c>
      <c r="H9" s="2029"/>
    </row>
    <row r="10" spans="1:17" ht="14.25" customHeight="1">
      <c r="A10" s="264"/>
      <c r="C10" s="300"/>
      <c r="D10" s="67" t="s">
        <v>105</v>
      </c>
      <c r="E10" s="31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2"/>
      <c r="G10" s="130"/>
      <c r="H10" s="1884" t="s">
        <v>1623</v>
      </c>
    </row>
    <row r="11" spans="1:17" ht="14.25" customHeight="1">
      <c r="A11" s="264"/>
      <c r="C11" s="300"/>
      <c r="D11" s="67" t="s">
        <v>106</v>
      </c>
      <c r="E11" s="31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2"/>
      <c r="G11" s="130"/>
      <c r="H11" s="1885"/>
    </row>
    <row r="12" spans="1:17" ht="22.5" customHeight="1">
      <c r="A12" s="30"/>
      <c r="C12" s="316"/>
      <c r="D12" s="67" t="s">
        <v>89</v>
      </c>
      <c r="E12" s="317" t="str">
        <f>"Сведения о планировании закупочных процедур"&amp;IF(TEMPLATE_SPHERE="TKO"," &lt;1&gt;","")</f>
        <v>Сведения о планировании закупочных процедур</v>
      </c>
      <c r="F12" s="172"/>
      <c r="G12" s="130"/>
      <c r="H12" s="188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1"/>
      <c r="K12" s="297"/>
    </row>
    <row r="13" spans="1:17" ht="22.5" customHeight="1">
      <c r="A13" s="30"/>
      <c r="C13" s="316"/>
      <c r="D13" s="67" t="s">
        <v>90</v>
      </c>
      <c r="E13" s="317" t="str">
        <f>"Сведения о результатах проведения закупочных процедур"&amp;IF(TEMPLATE_SPHERE="TKO"," &lt;1&gt;","")</f>
        <v>Сведения о результатах проведения закупочных процедур</v>
      </c>
      <c r="F13" s="172"/>
      <c r="G13" s="130"/>
      <c r="H13" s="1885"/>
      <c r="I13" s="271"/>
      <c r="K13" s="297"/>
    </row>
    <row r="14" spans="1:17" ht="14.25" customHeight="1">
      <c r="A14" s="264"/>
      <c r="C14" s="300"/>
      <c r="D14" s="268"/>
      <c r="E14" s="324" t="s">
        <v>464</v>
      </c>
      <c r="F14" s="270"/>
      <c r="G14" s="118"/>
      <c r="H14" s="1886"/>
    </row>
    <row r="15" spans="1:17" s="1560" customFormat="1" ht="14.25" customHeight="1">
      <c r="A15" s="264"/>
      <c r="B15" s="1070"/>
      <c r="C15" s="300"/>
      <c r="D15" s="325"/>
      <c r="E15" s="1602"/>
      <c r="F15" s="1603"/>
      <c r="G15" s="1604"/>
      <c r="H15" s="1605"/>
      <c r="J15" s="1549"/>
      <c r="K15" s="1549"/>
    </row>
    <row r="16" spans="1:17" ht="21.75" customHeight="1">
      <c r="D16" s="1606" t="s">
        <v>520</v>
      </c>
      <c r="E16" s="2041" t="s">
        <v>1624</v>
      </c>
      <c r="F16" s="2041"/>
      <c r="G16" s="2041"/>
      <c r="H16" s="2041"/>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heetViews>
  <sheetFormatPr defaultColWidth="9.09765625" defaultRowHeight="14.25" customHeight="1"/>
  <cols>
    <col min="1" max="1" width="8" style="1560" hidden="1" customWidth="1"/>
    <col min="2" max="2" width="6" style="1292" hidden="1" customWidth="1"/>
    <col min="3" max="3" width="3.69921875" style="1560" customWidth="1"/>
    <col min="4" max="4" width="3.69921875" style="1770" customWidth="1"/>
    <col min="5" max="5" width="6.296875" style="1560" customWidth="1"/>
    <col min="6" max="6" width="2.69921875" style="1560" hidden="1" customWidth="1"/>
    <col min="7" max="7" width="46.69921875" style="1560" customWidth="1"/>
    <col min="8" max="8" width="43.09765625" style="1560" customWidth="1"/>
    <col min="9" max="9" width="14.796875" style="1560" customWidth="1"/>
    <col min="10" max="10" width="3.69921875" style="1549" customWidth="1"/>
    <col min="11" max="13" width="9.09765625" style="1549" hidden="1"/>
    <col min="14" max="14" width="25.69921875" style="1549" hidden="1" customWidth="1"/>
    <col min="15" max="15" width="14.3984375" style="1549" hidden="1" customWidth="1"/>
    <col min="16" max="19" width="9.09765625" style="142" hidden="1"/>
    <col min="20" max="27" width="9.09765625" style="1560" hidden="1"/>
    <col min="28" max="28" width="9.09765625" style="1560"/>
  </cols>
  <sheetData>
    <row r="1" spans="1:28" s="1567" customFormat="1" ht="5.25" hidden="1" customHeight="1">
      <c r="A1" s="422"/>
      <c r="B1" s="437"/>
      <c r="C1" s="437"/>
      <c r="D1" s="138"/>
      <c r="F1" s="437"/>
      <c r="G1" s="162" t="s">
        <v>82</v>
      </c>
      <c r="H1" s="420" t="s">
        <v>83</v>
      </c>
      <c r="I1" s="144" t="s">
        <v>84</v>
      </c>
      <c r="J1" s="162" t="s">
        <v>82</v>
      </c>
      <c r="K1" s="162"/>
      <c r="L1" s="162"/>
      <c r="M1" s="162"/>
      <c r="N1" s="163"/>
      <c r="O1" s="162"/>
      <c r="P1" s="162"/>
      <c r="Q1" s="162"/>
      <c r="R1" s="162"/>
      <c r="S1" s="162"/>
      <c r="T1" s="144"/>
      <c r="U1" s="144"/>
      <c r="V1" s="144"/>
      <c r="W1" s="144"/>
      <c r="X1" s="144"/>
      <c r="Y1" s="144"/>
      <c r="Z1" s="144"/>
      <c r="AA1" s="144"/>
      <c r="AB1" s="144"/>
    </row>
    <row r="2" spans="1:28" s="1338" customFormat="1" ht="11.25" customHeight="1">
      <c r="A2" s="749"/>
      <c r="B2" s="145"/>
      <c r="C2" s="145"/>
      <c r="D2" s="146"/>
      <c r="E2" s="145"/>
      <c r="F2" s="145"/>
      <c r="G2" s="145"/>
      <c r="H2" s="145"/>
      <c r="I2" s="145"/>
      <c r="J2" s="162"/>
      <c r="K2" s="162"/>
      <c r="L2" s="162"/>
      <c r="M2" s="162"/>
      <c r="N2" s="163"/>
      <c r="O2" s="162"/>
      <c r="P2" s="147"/>
      <c r="Q2" s="147"/>
      <c r="R2" s="147"/>
      <c r="S2" s="147"/>
      <c r="T2" s="146"/>
      <c r="U2" s="146"/>
      <c r="V2" s="146"/>
      <c r="W2" s="146"/>
      <c r="X2" s="146"/>
      <c r="Y2" s="146"/>
      <c r="Z2" s="146"/>
      <c r="AA2" s="146"/>
      <c r="AB2" s="146"/>
    </row>
    <row r="3" spans="1:28" s="1748" customFormat="1" ht="3" customHeight="1">
      <c r="A3" s="677"/>
      <c r="B3" s="347"/>
      <c r="C3" s="677"/>
      <c r="D3" s="82"/>
      <c r="E3" s="31"/>
      <c r="F3" s="435"/>
      <c r="G3" s="31"/>
      <c r="H3" s="31"/>
      <c r="I3" s="84"/>
      <c r="J3" s="162"/>
      <c r="K3" s="73"/>
      <c r="L3" s="73"/>
      <c r="M3" s="73"/>
      <c r="N3" s="143"/>
      <c r="O3" s="73"/>
      <c r="P3" s="142"/>
      <c r="Q3" s="142"/>
      <c r="R3" s="142"/>
      <c r="S3" s="142"/>
    </row>
    <row r="4" spans="1:28" s="1748" customFormat="1" ht="25.5" customHeight="1">
      <c r="A4" s="677"/>
      <c r="B4" s="347"/>
      <c r="C4" s="677"/>
      <c r="D4" s="82"/>
      <c r="E4" s="1826" t="str">
        <f>NameTemplatesInListMO</f>
        <v>Перечень муниципальных районов и муниципальных образований (территорий оказания услуг)</v>
      </c>
      <c r="F4" s="1826"/>
      <c r="G4" s="1826"/>
      <c r="H4" s="1826"/>
      <c r="I4" s="1826"/>
      <c r="J4" s="162"/>
      <c r="K4" s="73"/>
      <c r="L4" s="73"/>
      <c r="M4" s="73"/>
      <c r="N4" s="143"/>
      <c r="O4" s="73"/>
      <c r="P4" s="142"/>
      <c r="Q4" s="142"/>
      <c r="R4" s="142"/>
      <c r="S4" s="142"/>
    </row>
    <row r="5" spans="1:28" s="1748" customFormat="1" ht="3" customHeight="1">
      <c r="A5" s="677"/>
      <c r="B5" s="347"/>
      <c r="C5" s="677"/>
      <c r="D5" s="82"/>
      <c r="E5" s="31"/>
      <c r="F5" s="435"/>
      <c r="G5" s="85"/>
      <c r="H5" s="85"/>
      <c r="I5" s="86"/>
      <c r="J5" s="73"/>
      <c r="K5" s="73"/>
      <c r="L5" s="73"/>
      <c r="M5" s="73"/>
      <c r="N5" s="143"/>
      <c r="O5" s="73"/>
      <c r="P5" s="142"/>
      <c r="Q5" s="142"/>
      <c r="R5" s="142"/>
      <c r="S5" s="142"/>
    </row>
    <row r="6" spans="1:28" s="1748" customFormat="1" ht="20.25" hidden="1" customHeight="1">
      <c r="A6" s="755"/>
      <c r="B6" s="751"/>
      <c r="C6" s="87"/>
      <c r="D6" s="82"/>
      <c r="E6" s="697"/>
      <c r="F6" s="697"/>
      <c r="G6" s="85"/>
      <c r="H6" s="88"/>
      <c r="I6" s="88"/>
      <c r="J6" s="73"/>
      <c r="K6" s="73"/>
      <c r="L6" s="73"/>
      <c r="M6" s="73"/>
      <c r="N6" s="143"/>
      <c r="O6" s="73"/>
      <c r="P6" s="142"/>
      <c r="Q6" s="142"/>
      <c r="R6" s="142"/>
      <c r="S6" s="142"/>
    </row>
    <row r="7" spans="1:28" ht="25.5" hidden="1" customHeight="1"/>
    <row r="8" spans="1:28" s="1748" customFormat="1" ht="14.25" customHeight="1">
      <c r="A8" s="677"/>
      <c r="B8" s="347"/>
      <c r="C8" s="677"/>
      <c r="D8" s="82"/>
      <c r="E8" s="1822" t="s">
        <v>85</v>
      </c>
      <c r="F8" s="1827"/>
      <c r="G8" s="1821"/>
      <c r="H8" s="1828" t="s">
        <v>86</v>
      </c>
      <c r="I8" s="1828"/>
      <c r="J8" s="73"/>
      <c r="K8" s="73"/>
      <c r="L8" s="73"/>
      <c r="M8" s="73"/>
      <c r="N8" s="143"/>
      <c r="O8" s="73"/>
      <c r="P8" s="142"/>
      <c r="Q8" s="142"/>
      <c r="R8" s="142"/>
      <c r="S8" s="142"/>
    </row>
    <row r="9" spans="1:28" s="1748" customFormat="1" ht="20.25" customHeight="1">
      <c r="A9" s="677"/>
      <c r="B9" s="347"/>
      <c r="C9" s="677"/>
      <c r="D9" s="82"/>
      <c r="E9" s="695" t="s">
        <v>87</v>
      </c>
      <c r="F9" s="695"/>
      <c r="G9" s="90" t="s">
        <v>88</v>
      </c>
      <c r="H9" s="90" t="s">
        <v>88</v>
      </c>
      <c r="I9" s="90" t="s">
        <v>84</v>
      </c>
      <c r="J9" s="73"/>
      <c r="K9" s="73"/>
      <c r="L9" s="73"/>
      <c r="M9" s="73"/>
      <c r="N9" s="143"/>
      <c r="O9" s="73"/>
      <c r="P9" s="142"/>
      <c r="Q9" s="142"/>
      <c r="R9" s="142"/>
      <c r="S9" s="142"/>
    </row>
    <row r="10" spans="1:28" ht="11.25" customHeight="1">
      <c r="D10" s="94"/>
      <c r="E10" s="696" t="s">
        <v>89</v>
      </c>
      <c r="F10" s="696"/>
      <c r="G10" s="140" t="s">
        <v>90</v>
      </c>
      <c r="H10" s="140" t="s">
        <v>91</v>
      </c>
      <c r="I10" s="140" t="s">
        <v>92</v>
      </c>
      <c r="J10" s="104"/>
      <c r="K10" s="104"/>
      <c r="L10" s="104"/>
      <c r="M10" s="104"/>
      <c r="N10" s="89"/>
      <c r="O10" s="104"/>
      <c r="P10" s="141"/>
      <c r="Q10" s="141"/>
      <c r="R10" s="141"/>
      <c r="S10" s="141"/>
    </row>
    <row r="11" spans="1:28" s="1748" customFormat="1" ht="0.75" customHeight="1">
      <c r="A11" s="677"/>
      <c r="B11" s="347"/>
      <c r="C11" s="677"/>
      <c r="D11" s="82"/>
      <c r="E11" s="708"/>
      <c r="F11" s="708"/>
      <c r="G11" s="91"/>
      <c r="H11" s="91"/>
      <c r="I11" s="93"/>
      <c r="J11" s="164" t="s">
        <v>93</v>
      </c>
      <c r="K11" s="73"/>
      <c r="L11" s="73"/>
      <c r="M11" s="73" t="s">
        <v>94</v>
      </c>
      <c r="N11" s="143" t="s">
        <v>95</v>
      </c>
      <c r="O11" s="73" t="s">
        <v>96</v>
      </c>
      <c r="P11" s="142"/>
      <c r="Q11" s="142"/>
      <c r="R11" s="142"/>
      <c r="S11" s="142"/>
    </row>
    <row r="12" spans="1:28" s="1748" customFormat="1" ht="14.25" customHeight="1">
      <c r="A12" s="1825">
        <v>1</v>
      </c>
      <c r="B12" s="347"/>
      <c r="C12" s="677"/>
      <c r="D12" s="700"/>
      <c r="E12" s="136">
        <f>A12</f>
        <v>1</v>
      </c>
      <c r="F12" s="720" t="s">
        <v>97</v>
      </c>
      <c r="G12" s="465" t="str">
        <f>"Территория "&amp;E12</f>
        <v>Территория 1</v>
      </c>
      <c r="H12" s="710"/>
      <c r="I12" s="710"/>
      <c r="J12" s="707"/>
      <c r="K12" s="426"/>
      <c r="L12" s="426"/>
      <c r="M12" s="426"/>
      <c r="N12" s="143"/>
      <c r="O12" s="426"/>
      <c r="P12" s="142"/>
      <c r="Q12" s="142"/>
      <c r="R12" s="142"/>
      <c r="S12" s="142"/>
    </row>
    <row r="13" spans="1:28" s="1796" customFormat="1" ht="15" customHeight="1">
      <c r="A13" s="1825"/>
      <c r="B13" s="347">
        <v>1</v>
      </c>
      <c r="C13" s="347"/>
      <c r="D13" s="718"/>
      <c r="E13" s="698" t="str">
        <f>A12&amp;"."&amp;B13</f>
        <v>1.1</v>
      </c>
      <c r="F13" s="713">
        <v>1</v>
      </c>
      <c r="G13" s="711"/>
      <c r="H13" s="711"/>
      <c r="I13" s="709"/>
      <c r="J13" s="426" t="e">
        <f ca="1">MERGEVALUE(G13)</f>
        <v>#NAME?</v>
      </c>
      <c r="K13" s="437"/>
      <c r="L13" s="437"/>
      <c r="M13" s="426" t="str">
        <f t="array" ref="M13">IF(ISERROR(MATCH(MID(N13,1,250),MID(note_ter,1,250),0)),"n","y")</f>
        <v>n</v>
      </c>
      <c r="N13" s="437"/>
      <c r="O13" s="426" t="str">
        <f>H13&amp;"("&amp;I13&amp;")"</f>
        <v>()</v>
      </c>
      <c r="P13" s="347"/>
      <c r="Q13" s="347"/>
      <c r="R13" s="349"/>
      <c r="S13" s="347"/>
      <c r="T13" s="347"/>
      <c r="U13" s="347"/>
      <c r="V13" s="351"/>
      <c r="W13" s="351"/>
      <c r="X13" s="348"/>
      <c r="Y13" s="348"/>
      <c r="Z13" s="348"/>
      <c r="AA13" s="348"/>
      <c r="AB13" s="348"/>
    </row>
    <row r="14" spans="1:28" s="1796" customFormat="1" ht="15" customHeight="1">
      <c r="A14" s="1825"/>
      <c r="B14" s="347"/>
      <c r="C14" s="342"/>
      <c r="D14" s="719"/>
      <c r="E14" s="350"/>
      <c r="F14" s="95"/>
      <c r="G14" s="345" t="s">
        <v>98</v>
      </c>
      <c r="H14" s="105"/>
      <c r="I14" s="352"/>
      <c r="J14" s="437"/>
      <c r="K14" s="437"/>
      <c r="L14" s="437"/>
      <c r="M14" s="437"/>
      <c r="N14" s="426"/>
      <c r="O14" s="437"/>
      <c r="P14" s="347"/>
      <c r="Q14" s="347"/>
      <c r="R14" s="349"/>
      <c r="S14" s="347"/>
      <c r="T14" s="347"/>
      <c r="U14" s="347"/>
      <c r="V14" s="351"/>
      <c r="W14" s="351"/>
      <c r="X14" s="348"/>
      <c r="Y14" s="348"/>
      <c r="Z14" s="348"/>
      <c r="AA14" s="348"/>
      <c r="AB14" s="348"/>
    </row>
    <row r="15" spans="1:28" s="1748" customFormat="1" ht="14.25" customHeight="1">
      <c r="A15" s="677"/>
      <c r="B15" s="347"/>
      <c r="C15" s="677"/>
      <c r="D15" s="700"/>
      <c r="E15" s="712"/>
      <c r="F15" s="96"/>
      <c r="G15" s="346" t="s">
        <v>99</v>
      </c>
      <c r="H15" s="96"/>
      <c r="I15" s="97"/>
      <c r="J15" s="164"/>
      <c r="K15" s="73"/>
      <c r="L15" s="73"/>
      <c r="M15" s="73"/>
      <c r="N15" s="143" t="s">
        <v>100</v>
      </c>
      <c r="O15" s="73"/>
      <c r="P15" s="142"/>
      <c r="Q15" s="142"/>
      <c r="R15" s="142"/>
      <c r="S15" s="142"/>
    </row>
    <row r="16" spans="1:28" s="1748" customFormat="1" ht="21" customHeight="1">
      <c r="A16" s="677"/>
      <c r="B16" s="347"/>
      <c r="C16" s="677"/>
      <c r="D16" s="83"/>
      <c r="E16" s="98"/>
      <c r="F16" s="98"/>
      <c r="G16" s="98"/>
      <c r="H16" s="98"/>
      <c r="I16" s="98"/>
      <c r="J16" s="73"/>
      <c r="K16" s="73"/>
      <c r="L16" s="73"/>
      <c r="M16" s="73"/>
      <c r="N16" s="143"/>
      <c r="O16" s="73"/>
      <c r="P16" s="142"/>
      <c r="Q16" s="142"/>
      <c r="R16" s="142"/>
      <c r="S16" s="142"/>
    </row>
    <row r="17" spans="1:19" s="1748" customFormat="1" ht="14.25" customHeight="1">
      <c r="A17" s="677"/>
      <c r="B17" s="347"/>
      <c r="C17" s="677"/>
      <c r="D17" s="83"/>
      <c r="E17" s="14"/>
      <c r="F17" s="677"/>
      <c r="G17" s="14"/>
      <c r="H17" s="14"/>
      <c r="I17" s="14"/>
      <c r="J17" s="73"/>
      <c r="K17" s="73"/>
      <c r="L17" s="73"/>
      <c r="M17" s="73"/>
      <c r="N17" s="143"/>
      <c r="O17" s="73"/>
      <c r="P17" s="142"/>
      <c r="Q17" s="142"/>
      <c r="R17" s="142"/>
      <c r="S17" s="142"/>
    </row>
    <row r="18" spans="1:19" s="1748" customFormat="1" ht="0.75" customHeight="1">
      <c r="A18" s="677"/>
      <c r="B18" s="347"/>
      <c r="C18" s="677"/>
      <c r="D18" s="83"/>
      <c r="E18" s="14"/>
      <c r="F18" s="677"/>
      <c r="G18" s="14"/>
      <c r="H18" s="14"/>
      <c r="I18" s="14"/>
      <c r="J18" s="73"/>
      <c r="K18" s="73"/>
      <c r="L18" s="73"/>
      <c r="M18" s="73"/>
      <c r="N18" s="143"/>
      <c r="O18" s="73"/>
      <c r="P18" s="142"/>
      <c r="Q18" s="142"/>
      <c r="R18" s="142"/>
      <c r="S18" s="142"/>
    </row>
    <row r="19" spans="1:19" s="980" customFormat="1" ht="10.5" customHeight="1">
      <c r="B19" s="752"/>
      <c r="D19" s="100"/>
      <c r="J19" s="73"/>
      <c r="K19" s="73"/>
      <c r="L19" s="73"/>
      <c r="M19" s="73"/>
      <c r="N19" s="143"/>
      <c r="O19" s="73"/>
      <c r="P19" s="142"/>
      <c r="Q19" s="142"/>
      <c r="R19" s="142"/>
      <c r="S19" s="142"/>
    </row>
    <row r="20" spans="1:19" s="980" customFormat="1" ht="10.5" customHeight="1">
      <c r="B20" s="752"/>
      <c r="D20" s="100"/>
      <c r="J20" s="73"/>
      <c r="K20" s="73"/>
      <c r="L20" s="73"/>
      <c r="M20" s="73"/>
      <c r="N20" s="143"/>
      <c r="O20" s="73"/>
      <c r="P20" s="142"/>
      <c r="Q20" s="142"/>
      <c r="R20" s="142"/>
      <c r="S20" s="142"/>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557" hidden="1" customWidth="1"/>
    <col min="2" max="2" width="9.09765625" style="1560" hidden="1" customWidth="1"/>
    <col min="3" max="3" width="4.69921875" style="603" customWidth="1"/>
    <col min="4" max="4" width="6.296875" style="1560" customWidth="1"/>
    <col min="5" max="5" width="47.796875" style="1560" customWidth="1"/>
    <col min="6" max="6" width="9.59765625" style="1560" customWidth="1"/>
    <col min="7" max="7" width="25.69921875" style="1560" hidden="1" customWidth="1"/>
    <col min="8" max="8" width="34" style="1560" hidden="1" customWidth="1"/>
    <col min="9" max="9" width="25.69921875" style="1560" customWidth="1"/>
    <col min="10" max="10" width="34" style="1560" customWidth="1"/>
    <col min="11" max="11" width="50.796875" style="1292" customWidth="1"/>
    <col min="12" max="20" width="10.59765625" style="1560"/>
    <col min="21" max="21" width="10.59765625" style="595"/>
  </cols>
  <sheetData>
    <row r="1" spans="1:21" s="1292" customFormat="1" ht="15" hidden="1" customHeight="1">
      <c r="C1" s="592"/>
      <c r="G1" s="347">
        <v>4</v>
      </c>
      <c r="I1" s="347">
        <v>4</v>
      </c>
      <c r="U1" s="349"/>
    </row>
    <row r="2" spans="1:21" s="1560" customFormat="1" ht="15" hidden="1" customHeight="1">
      <c r="A2" s="285"/>
      <c r="C2" s="94"/>
      <c r="D2" s="267"/>
      <c r="E2" s="593"/>
      <c r="F2" s="448"/>
      <c r="G2" s="537"/>
      <c r="H2" s="537"/>
      <c r="I2" s="537"/>
      <c r="J2" s="537"/>
      <c r="U2" s="594"/>
    </row>
    <row r="3" spans="1:21" s="1292" customFormat="1" ht="15" hidden="1" customHeight="1">
      <c r="C3" s="592"/>
      <c r="U3" s="349"/>
    </row>
    <row r="4" spans="1:21" ht="15" customHeight="1">
      <c r="C4" s="94"/>
      <c r="D4" s="435"/>
      <c r="E4" s="435"/>
      <c r="F4" s="435"/>
      <c r="G4" s="435"/>
      <c r="H4" s="435"/>
      <c r="I4" s="435"/>
      <c r="J4" s="435"/>
    </row>
    <row r="5" spans="1:21" ht="63" customHeight="1">
      <c r="C5" s="94"/>
      <c r="D5" s="1833" t="s">
        <v>1625</v>
      </c>
      <c r="E5" s="1834"/>
      <c r="F5" s="1834"/>
      <c r="G5" s="1834"/>
      <c r="H5" s="1834"/>
      <c r="I5" s="1834"/>
      <c r="J5" s="1835"/>
    </row>
    <row r="6" spans="1:21" ht="15" customHeight="1">
      <c r="C6" s="94"/>
      <c r="D6" s="1940" t="str">
        <f>IF(org=0,"Не определено",org)</f>
        <v>НАО "СВЕЗА Мантурово"</v>
      </c>
      <c r="E6" s="1941"/>
      <c r="F6" s="1941"/>
      <c r="G6" s="1941"/>
      <c r="H6" s="1941"/>
      <c r="I6" s="1941"/>
      <c r="J6" s="1942"/>
      <c r="K6" s="462"/>
    </row>
    <row r="7" spans="1:21" ht="15" customHeight="1">
      <c r="C7" s="94"/>
      <c r="D7" s="671"/>
      <c r="E7" s="435"/>
      <c r="F7" s="435"/>
      <c r="G7" s="462">
        <v>22</v>
      </c>
      <c r="I7" s="462">
        <v>1</v>
      </c>
      <c r="J7" s="671"/>
    </row>
    <row r="8" spans="1:21" s="1560" customFormat="1" ht="0.75" customHeight="1">
      <c r="A8" s="678"/>
      <c r="C8" s="94"/>
      <c r="D8" s="435"/>
      <c r="E8" s="435"/>
      <c r="F8" s="435"/>
      <c r="G8" s="462"/>
      <c r="H8" s="671"/>
      <c r="I8" s="462" t="s">
        <v>113</v>
      </c>
      <c r="J8" s="671"/>
      <c r="K8" s="347"/>
      <c r="U8" s="595"/>
    </row>
    <row r="9" spans="1:21" ht="15" customHeight="1">
      <c r="C9" s="94"/>
      <c r="D9" s="630"/>
      <c r="E9" s="2130" t="s">
        <v>101</v>
      </c>
      <c r="F9" s="2131"/>
      <c r="G9" s="2128" t="str">
        <f>IF(G8="","",INDEX(DIFFERENTIATION_UNMERGE_VD,MATCH(G8,DIFFERENTIATION_ID_DIFF,0)))</f>
        <v/>
      </c>
      <c r="H9" s="2129"/>
      <c r="I9" s="2128">
        <f>IF(I8="","",INDEX(DIFFERENTIATION_UNMERGE_VD,MATCH(I8,DIFFERENTIATION_ID_DIFF,0)))</f>
        <v>0</v>
      </c>
      <c r="J9" s="2129"/>
      <c r="K9" s="1894" t="s">
        <v>283</v>
      </c>
    </row>
    <row r="10" spans="1:21" s="1560" customFormat="1" ht="15" customHeight="1">
      <c r="A10" s="678"/>
      <c r="C10" s="94"/>
      <c r="D10" s="630"/>
      <c r="E10" s="2130" t="s">
        <v>428</v>
      </c>
      <c r="F10" s="2131"/>
      <c r="G10" s="2128" t="str">
        <f>IF(G8="","",INDEX(DIFFERENTIATION_UNMERGE_AREA,MATCH(G8,DIFFERENTIATION_ID_DIFF,0)))</f>
        <v/>
      </c>
      <c r="H10" s="2129"/>
      <c r="I10" s="2128" t="str">
        <f>IF(I8="","",INDEX(DIFFERENTIATION_UNMERGE_AREA,MATCH(I8,DIFFERENTIATION_ID_DIFF,0)))</f>
        <v/>
      </c>
      <c r="J10" s="2129"/>
      <c r="K10" s="1899"/>
      <c r="U10" s="595"/>
    </row>
    <row r="11" spans="1:21" s="1560" customFormat="1" ht="15" customHeight="1">
      <c r="A11" s="678"/>
      <c r="C11" s="94"/>
      <c r="D11" s="630"/>
      <c r="E11" s="2130" t="s">
        <v>429</v>
      </c>
      <c r="F11" s="2131"/>
      <c r="G11" s="2128" t="str">
        <f>IF(G8="","",INDEX(DIFFERENTIATION_UNMERGE_SYSTEM,MATCH(G8,DIFFERENTIATION_ID_DIFF,0)))</f>
        <v/>
      </c>
      <c r="H11" s="2129"/>
      <c r="I11" s="2128" t="str">
        <f>IF(I8="","",INDEX(DIFFERENTIATION_UNMERGE_SYSTEM,MATCH(I8,DIFFERENTIATION_ID_DIFF,0)))</f>
        <v>без дифференциации</v>
      </c>
      <c r="J11" s="2129"/>
      <c r="K11" s="1899"/>
      <c r="U11" s="595"/>
    </row>
    <row r="12" spans="1:21" s="1560" customFormat="1" ht="15" customHeight="1">
      <c r="A12" s="678"/>
      <c r="C12" s="94"/>
      <c r="D12" s="2132" t="s">
        <v>282</v>
      </c>
      <c r="E12" s="2133"/>
      <c r="F12" s="2133"/>
      <c r="G12" s="805"/>
      <c r="H12" s="805"/>
      <c r="I12" s="805"/>
      <c r="J12" s="805"/>
      <c r="K12" s="1899"/>
      <c r="U12" s="595"/>
    </row>
    <row r="13" spans="1:21" ht="33.75" customHeight="1">
      <c r="C13" s="94"/>
      <c r="D13" s="723" t="s">
        <v>87</v>
      </c>
      <c r="E13" s="725" t="s">
        <v>284</v>
      </c>
      <c r="F13" s="725" t="s">
        <v>1626</v>
      </c>
      <c r="G13" s="726" t="s">
        <v>285</v>
      </c>
      <c r="H13" s="725" t="s">
        <v>392</v>
      </c>
      <c r="I13" s="726" t="s">
        <v>285</v>
      </c>
      <c r="J13" s="725" t="s">
        <v>392</v>
      </c>
      <c r="K13" s="1950"/>
    </row>
    <row r="14" spans="1:21" ht="15" hidden="1" customHeight="1">
      <c r="C14" s="94"/>
      <c r="D14" s="516" t="s">
        <v>105</v>
      </c>
      <c r="E14" s="516" t="s">
        <v>106</v>
      </c>
      <c r="F14" s="516" t="s">
        <v>89</v>
      </c>
      <c r="G14" s="579" t="str">
        <f>G1&amp;".1"</f>
        <v>4.1</v>
      </c>
      <c r="H14" s="579"/>
      <c r="I14" s="579" t="str">
        <f>I1&amp;".1"</f>
        <v>4.1</v>
      </c>
      <c r="J14" s="579"/>
      <c r="K14" s="204"/>
    </row>
    <row r="15" spans="1:21" ht="22.5" hidden="1" customHeight="1">
      <c r="A15" s="431"/>
      <c r="C15" s="452"/>
      <c r="D15" s="447">
        <v>1</v>
      </c>
      <c r="E15" s="597" t="s">
        <v>1627</v>
      </c>
      <c r="F15" s="447" t="s">
        <v>1628</v>
      </c>
      <c r="G15" s="598"/>
      <c r="H15" s="598"/>
      <c r="I15" s="598"/>
      <c r="J15" s="598"/>
      <c r="K15" s="204" t="s">
        <v>1629</v>
      </c>
    </row>
    <row r="16" spans="1:21" ht="22.5" hidden="1" customHeight="1">
      <c r="A16" s="431"/>
      <c r="C16" s="452"/>
      <c r="D16" s="447">
        <v>2</v>
      </c>
      <c r="E16" s="195" t="s">
        <v>1630</v>
      </c>
      <c r="F16" s="447" t="s">
        <v>1631</v>
      </c>
      <c r="G16" s="598"/>
      <c r="H16" s="598"/>
      <c r="I16" s="598"/>
      <c r="J16" s="598"/>
      <c r="K16" s="204" t="s">
        <v>1632</v>
      </c>
    </row>
    <row r="17" spans="1:11" ht="123.75" hidden="1" customHeight="1">
      <c r="A17" s="431"/>
      <c r="C17" s="452"/>
      <c r="D17" s="447">
        <v>3</v>
      </c>
      <c r="E17" s="195" t="s">
        <v>1633</v>
      </c>
      <c r="F17" s="447" t="s">
        <v>288</v>
      </c>
      <c r="G17" s="598"/>
      <c r="H17" s="598"/>
      <c r="I17" s="598"/>
      <c r="J17" s="598"/>
      <c r="K17" s="204" t="s">
        <v>1634</v>
      </c>
    </row>
    <row r="18" spans="1:11" ht="45" customHeight="1">
      <c r="A18" s="431"/>
      <c r="C18" s="452"/>
      <c r="D18" s="447">
        <v>4</v>
      </c>
      <c r="E18" s="195" t="s">
        <v>1635</v>
      </c>
      <c r="F18" s="447" t="s">
        <v>288</v>
      </c>
      <c r="G18" s="727" t="s">
        <v>288</v>
      </c>
      <c r="H18" s="728" t="s">
        <v>288</v>
      </c>
      <c r="I18" s="447" t="s">
        <v>288</v>
      </c>
      <c r="J18" s="503" t="s">
        <v>288</v>
      </c>
      <c r="K18" s="204" t="s">
        <v>1636</v>
      </c>
    </row>
    <row r="19" spans="1:11" ht="33.75" customHeight="1">
      <c r="A19" s="431"/>
      <c r="C19" s="452"/>
      <c r="D19" s="464" t="s">
        <v>1477</v>
      </c>
      <c r="E19" s="484" t="s">
        <v>1637</v>
      </c>
      <c r="F19" s="447" t="s">
        <v>1638</v>
      </c>
      <c r="G19" s="735"/>
      <c r="H19" s="33"/>
      <c r="I19" s="735"/>
      <c r="J19" s="736"/>
      <c r="K19" s="599"/>
    </row>
    <row r="20" spans="1:11" ht="33.75" customHeight="1">
      <c r="A20" s="431"/>
      <c r="C20" s="452"/>
      <c r="D20" s="464" t="s">
        <v>1494</v>
      </c>
      <c r="E20" s="484" t="s">
        <v>1639</v>
      </c>
      <c r="F20" s="447" t="s">
        <v>1640</v>
      </c>
      <c r="G20" s="735"/>
      <c r="H20" s="33"/>
      <c r="I20" s="735"/>
      <c r="J20" s="33"/>
      <c r="K20" s="599"/>
    </row>
    <row r="21" spans="1:11" ht="45" customHeight="1">
      <c r="A21" s="431"/>
      <c r="C21" s="452"/>
      <c r="D21" s="464" t="s">
        <v>1641</v>
      </c>
      <c r="E21" s="484" t="s">
        <v>1642</v>
      </c>
      <c r="F21" s="447" t="s">
        <v>1256</v>
      </c>
      <c r="G21" s="600"/>
      <c r="H21" s="33"/>
      <c r="I21" s="600"/>
      <c r="J21" s="33"/>
      <c r="K21" s="599"/>
    </row>
    <row r="22" spans="1:11" ht="67.5" hidden="1" customHeight="1">
      <c r="A22" s="431"/>
      <c r="C22" s="452"/>
      <c r="D22" s="447">
        <v>5</v>
      </c>
      <c r="E22" s="195" t="s">
        <v>1643</v>
      </c>
      <c r="F22" s="447" t="s">
        <v>1644</v>
      </c>
      <c r="G22" s="601"/>
      <c r="H22" s="602"/>
      <c r="I22" s="601"/>
      <c r="J22" s="602"/>
      <c r="K22" s="204" t="s">
        <v>1645</v>
      </c>
    </row>
    <row r="23" spans="1:11" ht="33.75" hidden="1" customHeight="1">
      <c r="C23" s="378"/>
      <c r="D23" s="447">
        <v>6</v>
      </c>
      <c r="E23" s="195" t="s">
        <v>1646</v>
      </c>
      <c r="F23" s="447" t="s">
        <v>1647</v>
      </c>
      <c r="G23" s="601"/>
      <c r="H23" s="601"/>
      <c r="I23" s="601"/>
      <c r="J23" s="601"/>
      <c r="K23" s="204" t="s">
        <v>1648</v>
      </c>
    </row>
    <row r="29" spans="1:11" ht="15" customHeight="1">
      <c r="J29" s="737"/>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9765625" defaultRowHeight="15" customHeight="1"/>
  <cols>
    <col min="1" max="1" width="9.09765625" style="1557" hidden="1" customWidth="1"/>
    <col min="2" max="2" width="9.09765625" style="1560" hidden="1" customWidth="1"/>
    <col min="3" max="3" width="4.69921875" style="603" customWidth="1"/>
    <col min="4" max="4" width="6.296875" style="1560" customWidth="1"/>
    <col min="5" max="5" width="36.69921875" style="1560" customWidth="1"/>
    <col min="6" max="6" width="9.59765625" style="1560" customWidth="1"/>
    <col min="7" max="7" width="42.3984375" style="1560" hidden="1" customWidth="1"/>
    <col min="8" max="8" width="40.69921875" style="1560" customWidth="1"/>
    <col min="9" max="9" width="93.3984375" style="1292" customWidth="1"/>
    <col min="10" max="17" width="10.59765625" style="1560"/>
    <col min="18" max="18" width="10.59765625" style="595"/>
  </cols>
  <sheetData>
    <row r="1" spans="1:18" s="1292" customFormat="1" ht="15" hidden="1" customHeight="1">
      <c r="C1" s="592"/>
      <c r="H1" s="347">
        <v>4</v>
      </c>
      <c r="R1" s="349"/>
    </row>
    <row r="2" spans="1:18" ht="22.5" hidden="1" customHeight="1">
      <c r="D2" s="464"/>
      <c r="E2" s="583"/>
      <c r="F2" s="1685" t="str">
        <f>IF(TEMPLATE_SPHERE="HEAT","Гкал/час","тыс. куб. м/сутки")</f>
        <v>тыс. куб. м/сутки</v>
      </c>
      <c r="G2" s="600"/>
      <c r="H2" s="600"/>
      <c r="I2" s="204"/>
    </row>
    <row r="3" spans="1:18" s="1292" customFormat="1" ht="15" hidden="1" customHeight="1">
      <c r="C3" s="592"/>
      <c r="R3" s="349"/>
    </row>
    <row r="4" spans="1:18" ht="15" customHeight="1">
      <c r="C4" s="94"/>
      <c r="D4" s="435"/>
      <c r="E4" s="435"/>
      <c r="F4" s="435"/>
      <c r="G4" s="435"/>
      <c r="H4" s="435"/>
    </row>
    <row r="5" spans="1:18" ht="47.25" customHeight="1">
      <c r="C5" s="94"/>
      <c r="D5" s="2067" t="str">
        <f>TP_NAME_FORM</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67"/>
      <c r="F5" s="2067"/>
      <c r="G5" s="2067"/>
      <c r="H5" s="2067"/>
      <c r="I5" s="462"/>
    </row>
    <row r="6" spans="1:18" ht="15" customHeight="1">
      <c r="C6" s="94"/>
      <c r="D6" s="1927" t="str">
        <f>IF(org=0,"Не определено",org)</f>
        <v>НАО "СВЕЗА Мантурово"</v>
      </c>
      <c r="E6" s="1927"/>
      <c r="F6" s="1927"/>
      <c r="G6" s="1927"/>
      <c r="H6" s="1927"/>
      <c r="I6" s="462"/>
    </row>
    <row r="7" spans="1:18" s="1560" customFormat="1" ht="15" customHeight="1">
      <c r="A7" s="678"/>
      <c r="C7" s="94"/>
      <c r="D7" s="596"/>
      <c r="E7" s="596"/>
      <c r="F7" s="596"/>
      <c r="G7" s="596"/>
      <c r="H7" s="671"/>
      <c r="I7" s="462"/>
      <c r="R7" s="595"/>
    </row>
    <row r="8" spans="1:18" ht="0.75" customHeight="1">
      <c r="C8" s="94"/>
      <c r="D8" s="435"/>
      <c r="E8" s="435"/>
      <c r="F8" s="435"/>
      <c r="G8" s="435"/>
      <c r="H8" s="462" t="s">
        <v>113</v>
      </c>
    </row>
    <row r="9" spans="1:18" ht="15" customHeight="1">
      <c r="C9" s="94"/>
      <c r="D9" s="630"/>
      <c r="E9" s="2130" t="s">
        <v>101</v>
      </c>
      <c r="F9" s="2131"/>
      <c r="G9" s="734" t="str">
        <f>IF(G8="","",INDEX(DIFFERENTIATION_UNMERGE_VD,MATCH(G8,DIFFERENTIATION_ID_DIFF,0)))</f>
        <v/>
      </c>
      <c r="H9" s="734">
        <f>IF(H8="","",INDEX(DIFFERENTIATION_UNMERGE_VD,MATCH(H8,DIFFERENTIATION_ID_DIFF,0)))</f>
        <v>0</v>
      </c>
      <c r="I9" s="1840" t="s">
        <v>283</v>
      </c>
    </row>
    <row r="10" spans="1:18" s="1560" customFormat="1" ht="15" customHeight="1">
      <c r="A10" s="678"/>
      <c r="C10" s="94"/>
      <c r="D10" s="630"/>
      <c r="E10" s="2130" t="s">
        <v>428</v>
      </c>
      <c r="F10" s="2131"/>
      <c r="G10" s="734" t="str">
        <f>IF(G8="","",INDEX(DIFFERENTIATION_UNMERGE_AREA,MATCH(G8,DIFFERENTIATION_ID_DIFF,0)))</f>
        <v/>
      </c>
      <c r="H10" s="734" t="str">
        <f>IF(H8="","",INDEX(DIFFERENTIATION_UNMERGE_AREA,MATCH(H8,DIFFERENTIATION_ID_DIFF,0)))</f>
        <v/>
      </c>
      <c r="I10" s="1840"/>
      <c r="R10" s="595"/>
    </row>
    <row r="11" spans="1:18" s="1560" customFormat="1" ht="15" customHeight="1">
      <c r="A11" s="678"/>
      <c r="C11" s="94"/>
      <c r="D11" s="630"/>
      <c r="E11" s="2130" t="s">
        <v>429</v>
      </c>
      <c r="F11" s="2131"/>
      <c r="G11" s="734" t="str">
        <f>IF(G8="","",INDEX(DIFFERENTIATION_UNMERGE_SYSTEM,MATCH(G8,DIFFERENTIATION_ID_DIFF,0)))</f>
        <v/>
      </c>
      <c r="H11" s="734" t="str">
        <f>IF(H8="","",INDEX(DIFFERENTIATION_UNMERGE_SYSTEM,MATCH(H8,DIFFERENTIATION_ID_DIFF,0)))</f>
        <v>без дифференциации</v>
      </c>
      <c r="I11" s="1840"/>
      <c r="R11" s="595"/>
    </row>
    <row r="12" spans="1:18" s="1560" customFormat="1" ht="15" customHeight="1">
      <c r="A12" s="678"/>
      <c r="C12" s="94"/>
      <c r="D12" s="2132" t="s">
        <v>282</v>
      </c>
      <c r="E12" s="2133"/>
      <c r="F12" s="2133"/>
      <c r="G12" s="805"/>
      <c r="H12" s="805"/>
      <c r="I12" s="1840"/>
      <c r="R12" s="595"/>
    </row>
    <row r="13" spans="1:18" ht="33.75" customHeight="1">
      <c r="C13" s="94"/>
      <c r="D13" s="680" t="s">
        <v>87</v>
      </c>
      <c r="E13" s="679" t="s">
        <v>284</v>
      </c>
      <c r="F13" s="679" t="s">
        <v>1626</v>
      </c>
      <c r="G13" s="726" t="s">
        <v>285</v>
      </c>
      <c r="H13" s="673" t="s">
        <v>285</v>
      </c>
      <c r="I13" s="1840"/>
    </row>
    <row r="14" spans="1:18" ht="15" hidden="1" customHeight="1">
      <c r="C14" s="94"/>
      <c r="D14" s="516" t="s">
        <v>105</v>
      </c>
      <c r="E14" s="516" t="s">
        <v>106</v>
      </c>
      <c r="F14" s="516" t="s">
        <v>89</v>
      </c>
      <c r="G14" s="579" t="str">
        <f>G1&amp;".1"</f>
        <v>.1</v>
      </c>
      <c r="H14" s="579" t="str">
        <f>H1&amp;".1"</f>
        <v>4.1</v>
      </c>
      <c r="I14" s="204"/>
    </row>
    <row r="15" spans="1:18" ht="15" customHeight="1">
      <c r="A15" s="431"/>
      <c r="C15" s="452"/>
      <c r="D15" s="447">
        <v>1</v>
      </c>
      <c r="E15" s="597" t="str">
        <f>TP_P_A</f>
        <v xml:space="preserve">Количество поданных заявлений </v>
      </c>
      <c r="F15" s="447" t="s">
        <v>1649</v>
      </c>
      <c r="G15" s="605"/>
      <c r="H15" s="605"/>
      <c r="I15" s="12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31"/>
      <c r="C16" s="452"/>
      <c r="D16" s="447">
        <v>2</v>
      </c>
      <c r="E16" s="195" t="str">
        <f>TP_P_B</f>
        <v xml:space="preserve">Количество исполненных заявлений </v>
      </c>
      <c r="F16" s="447" t="s">
        <v>1649</v>
      </c>
      <c r="G16" s="605"/>
      <c r="H16" s="605"/>
      <c r="I16" s="12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31"/>
      <c r="C17" s="452"/>
      <c r="D17" s="447">
        <v>3</v>
      </c>
      <c r="E17" s="195" t="str">
        <f>TP_P_V</f>
        <v>Количество заявлений о заключении договоров о подключении (технологическом присоединении)</v>
      </c>
      <c r="F17" s="447" t="s">
        <v>1649</v>
      </c>
      <c r="G17" s="605"/>
      <c r="H17" s="605"/>
      <c r="I17" s="12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22.5" customHeight="1">
      <c r="A18" s="431"/>
      <c r="C18" s="452"/>
      <c r="D18" s="447">
        <v>4</v>
      </c>
      <c r="E18" s="19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7" t="s">
        <v>288</v>
      </c>
      <c r="G18" s="606"/>
      <c r="H18" s="606"/>
      <c r="I18" s="75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22.5" customHeight="1">
      <c r="A19" s="431"/>
      <c r="C19" s="452"/>
      <c r="D19" s="447">
        <v>5</v>
      </c>
      <c r="E19" s="19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7" t="str">
        <f>IF(TEMPLATE_SPHERE="HEAT","Гкал/час","тыс. куб. м/сутки")</f>
        <v>тыс. куб. м/сутки</v>
      </c>
      <c r="G19" s="607">
        <f>SUM(G20:G22)</f>
        <v>0</v>
      </c>
      <c r="H19" s="607">
        <f>SUM(H20:H22)</f>
        <v>0</v>
      </c>
      <c r="I19" s="12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5" t="s">
        <v>1650</v>
      </c>
      <c r="E20" s="608"/>
      <c r="F20" s="435"/>
      <c r="G20" s="435"/>
      <c r="H20" s="435"/>
      <c r="I20" s="1687"/>
    </row>
    <row r="21" spans="1:18" ht="27.75" customHeight="1">
      <c r="C21" s="378"/>
      <c r="D21" s="464" t="s">
        <v>300</v>
      </c>
      <c r="E21" s="590"/>
      <c r="F21" s="1685" t="str">
        <f>IF(TEMPLATE_SPHERE="HEAT","Гкал/час","тыс. куб. м/сутки")</f>
        <v>тыс. куб. м/сутки</v>
      </c>
      <c r="G21" s="600"/>
      <c r="H21" s="600"/>
      <c r="I21" s="188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31"/>
      <c r="C22" s="431"/>
      <c r="D22" s="268"/>
      <c r="E22" s="505" t="s">
        <v>1651</v>
      </c>
      <c r="F22" s="497"/>
      <c r="G22" s="497"/>
      <c r="H22" s="497"/>
      <c r="I22" s="1886"/>
      <c r="R22" s="431"/>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D9C4"/>
  </sheetPr>
  <dimension ref="A1:U39"/>
  <sheetViews>
    <sheetView showGridLines="0" topLeftCell="C21" zoomScale="90" workbookViewId="0"/>
  </sheetViews>
  <sheetFormatPr defaultColWidth="10.59765625" defaultRowHeight="15" customHeight="1"/>
  <cols>
    <col min="1" max="1" width="9.09765625" style="1557" hidden="1" customWidth="1"/>
    <col min="2" max="2" width="9.09765625" style="1560" hidden="1" customWidth="1"/>
    <col min="3" max="3" width="4.69921875" style="603" customWidth="1"/>
    <col min="4" max="4" width="6.296875" style="1560" customWidth="1"/>
    <col min="5" max="5" width="36.69921875" style="1560" customWidth="1"/>
    <col min="6" max="6" width="9.59765625" style="1560" customWidth="1"/>
    <col min="7" max="7" width="25.69921875" style="1560" hidden="1" customWidth="1"/>
    <col min="8" max="8" width="33.69921875" style="1560" hidden="1" customWidth="1"/>
    <col min="9" max="9" width="25.69921875" style="1560" customWidth="1"/>
    <col min="10" max="10" width="33.69921875" style="1560" customWidth="1"/>
    <col min="11" max="11" width="93.3984375" style="1292" customWidth="1"/>
    <col min="12" max="20" width="10.59765625" style="1560"/>
    <col min="21" max="21" width="10.59765625" style="595"/>
  </cols>
  <sheetData>
    <row r="1" spans="1:21" s="1292" customFormat="1" ht="15" hidden="1" customHeight="1">
      <c r="C1" s="592"/>
      <c r="G1" s="347">
        <v>4</v>
      </c>
      <c r="I1" s="347">
        <v>4</v>
      </c>
      <c r="U1" s="349"/>
    </row>
    <row r="2" spans="1:21" s="1292" customFormat="1" ht="15" hidden="1" customHeight="1">
      <c r="C2" s="592"/>
      <c r="U2" s="349"/>
    </row>
    <row r="3" spans="1:21" ht="22.5" hidden="1" customHeight="1">
      <c r="A3" s="431"/>
      <c r="B3" s="2134"/>
      <c r="C3" s="2135"/>
      <c r="D3" s="609" t="str">
        <f>B3&amp;".1"</f>
        <v>.1</v>
      </c>
      <c r="E3" s="610" t="s">
        <v>1652</v>
      </c>
      <c r="F3" s="611" t="s">
        <v>288</v>
      </c>
      <c r="G3" s="606"/>
      <c r="H3" s="331"/>
      <c r="I3" s="606"/>
      <c r="J3" s="331"/>
      <c r="K3" s="204" t="s">
        <v>1653</v>
      </c>
    </row>
    <row r="4" spans="1:21" ht="15" hidden="1" customHeight="1">
      <c r="A4" s="431"/>
      <c r="B4" s="2134"/>
      <c r="C4" s="2135"/>
      <c r="D4" s="609" t="str">
        <f>B3&amp;".2"</f>
        <v>.2</v>
      </c>
      <c r="E4" s="610" t="s">
        <v>1654</v>
      </c>
      <c r="F4" s="611" t="s">
        <v>288</v>
      </c>
      <c r="G4" s="1662" t="s">
        <v>18</v>
      </c>
      <c r="H4" s="331"/>
      <c r="I4" s="1662" t="s">
        <v>18</v>
      </c>
      <c r="J4" s="331"/>
      <c r="K4" s="204" t="s">
        <v>1655</v>
      </c>
    </row>
    <row r="5" spans="1:21" s="1292" customFormat="1" ht="15" hidden="1" customHeight="1">
      <c r="C5" s="592"/>
      <c r="U5" s="349"/>
    </row>
    <row r="6" spans="1:21" ht="22.5" hidden="1" customHeight="1">
      <c r="A6" s="431"/>
      <c r="B6" s="2134"/>
      <c r="C6" s="2135"/>
      <c r="D6" s="609" t="str">
        <f>B6&amp;".1"</f>
        <v>.1</v>
      </c>
      <c r="E6" s="610" t="s">
        <v>1656</v>
      </c>
      <c r="F6" s="611" t="s">
        <v>288</v>
      </c>
      <c r="G6" s="606"/>
      <c r="H6" s="331"/>
      <c r="I6" s="606"/>
      <c r="J6" s="331"/>
      <c r="K6" s="204" t="s">
        <v>1657</v>
      </c>
    </row>
    <row r="7" spans="1:21" ht="15" hidden="1" customHeight="1">
      <c r="A7" s="431"/>
      <c r="B7" s="2134"/>
      <c r="C7" s="2135"/>
      <c r="D7" s="609" t="str">
        <f>B6&amp;".2"</f>
        <v>.2</v>
      </c>
      <c r="E7" s="610" t="s">
        <v>1654</v>
      </c>
      <c r="F7" s="611" t="s">
        <v>288</v>
      </c>
      <c r="G7" s="1662" t="s">
        <v>18</v>
      </c>
      <c r="H7" s="331"/>
      <c r="I7" s="1662" t="s">
        <v>18</v>
      </c>
      <c r="J7" s="331"/>
      <c r="K7" s="204" t="s">
        <v>1655</v>
      </c>
    </row>
    <row r="8" spans="1:21" s="1292" customFormat="1" ht="15" hidden="1" customHeight="1">
      <c r="C8" s="592"/>
      <c r="U8" s="349"/>
    </row>
    <row r="9" spans="1:21" ht="22.5" hidden="1" customHeight="1">
      <c r="A9" s="431"/>
      <c r="B9" s="2134"/>
      <c r="C9" s="2135"/>
      <c r="D9" s="609" t="str">
        <f>B9&amp;".1"</f>
        <v>.1</v>
      </c>
      <c r="E9" s="610" t="s">
        <v>1658</v>
      </c>
      <c r="F9" s="611" t="s">
        <v>288</v>
      </c>
      <c r="G9" s="617" t="s">
        <v>18</v>
      </c>
      <c r="H9" s="331" t="s">
        <v>18</v>
      </c>
      <c r="I9" s="617" t="s">
        <v>18</v>
      </c>
      <c r="J9" s="331" t="s">
        <v>18</v>
      </c>
      <c r="K9" s="204"/>
    </row>
    <row r="10" spans="1:21" ht="15" hidden="1" customHeight="1">
      <c r="A10" s="431"/>
      <c r="B10" s="2134"/>
      <c r="C10" s="2135"/>
      <c r="D10" s="609" t="str">
        <f>B9&amp;".2"</f>
        <v>.2</v>
      </c>
      <c r="E10" s="610" t="s">
        <v>1659</v>
      </c>
      <c r="F10" s="611" t="s">
        <v>288</v>
      </c>
      <c r="G10" s="1656" t="s">
        <v>18</v>
      </c>
      <c r="H10" s="331" t="s">
        <v>18</v>
      </c>
      <c r="I10" s="1656" t="s">
        <v>18</v>
      </c>
      <c r="J10" s="331" t="s">
        <v>18</v>
      </c>
      <c r="K10" s="204" t="s">
        <v>1660</v>
      </c>
    </row>
    <row r="11" spans="1:21" ht="15" hidden="1" customHeight="1">
      <c r="A11" s="431"/>
      <c r="B11" s="2134"/>
      <c r="C11" s="2135"/>
      <c r="D11" s="609" t="str">
        <f>B9&amp;".3"</f>
        <v>.3</v>
      </c>
      <c r="E11" s="610" t="s">
        <v>1661</v>
      </c>
      <c r="F11" s="611" t="s">
        <v>288</v>
      </c>
      <c r="G11" s="1656" t="s">
        <v>18</v>
      </c>
      <c r="H11" s="331" t="s">
        <v>18</v>
      </c>
      <c r="I11" s="1656" t="s">
        <v>18</v>
      </c>
      <c r="J11" s="331" t="s">
        <v>18</v>
      </c>
      <c r="K11" s="204" t="s">
        <v>1662</v>
      </c>
    </row>
    <row r="12" spans="1:21" s="1292" customFormat="1" ht="15" hidden="1" customHeight="1">
      <c r="C12" s="592"/>
      <c r="U12" s="349"/>
    </row>
    <row r="13" spans="1:21" ht="33.75" hidden="1" customHeight="1">
      <c r="A13" s="431"/>
      <c r="B13" s="2134"/>
      <c r="C13" s="2135"/>
      <c r="D13" s="609" t="str">
        <f>B13&amp;".1"</f>
        <v>.1</v>
      </c>
      <c r="E13" s="610" t="s">
        <v>1663</v>
      </c>
      <c r="F13" s="611" t="s">
        <v>288</v>
      </c>
      <c r="G13" s="617" t="s">
        <v>18</v>
      </c>
      <c r="H13" s="331" t="s">
        <v>18</v>
      </c>
      <c r="I13" s="617" t="s">
        <v>18</v>
      </c>
      <c r="J13" s="331" t="s">
        <v>18</v>
      </c>
      <c r="K13" s="204" t="s">
        <v>1664</v>
      </c>
    </row>
    <row r="14" spans="1:21" ht="15" hidden="1" customHeight="1">
      <c r="B14" s="2134"/>
      <c r="C14" s="2135"/>
      <c r="D14" s="609" t="str">
        <f>B13&amp;".2"</f>
        <v>.2</v>
      </c>
      <c r="E14" s="610" t="s">
        <v>1665</v>
      </c>
      <c r="F14" s="611" t="s">
        <v>288</v>
      </c>
      <c r="G14" s="1656" t="s">
        <v>18</v>
      </c>
      <c r="H14" s="331" t="s">
        <v>18</v>
      </c>
      <c r="I14" s="1656" t="s">
        <v>18</v>
      </c>
      <c r="J14" s="331" t="s">
        <v>18</v>
      </c>
      <c r="K14" s="204" t="s">
        <v>1666</v>
      </c>
    </row>
    <row r="15" spans="1:21" s="1292" customFormat="1" ht="15" hidden="1" customHeight="1">
      <c r="C15" s="592"/>
      <c r="U15" s="349"/>
    </row>
    <row r="16" spans="1:21" s="1292" customFormat="1" ht="15" hidden="1" customHeight="1">
      <c r="C16" s="592"/>
      <c r="U16" s="349"/>
    </row>
    <row r="17" spans="1:21" s="1292" customFormat="1" ht="15" hidden="1" customHeight="1">
      <c r="C17" s="592"/>
      <c r="U17" s="349"/>
    </row>
    <row r="18" spans="1:21" s="1292" customFormat="1" ht="15" hidden="1" customHeight="1">
      <c r="C18" s="592"/>
      <c r="U18" s="349"/>
    </row>
    <row r="19" spans="1:21" s="1292" customFormat="1" ht="15" hidden="1" customHeight="1">
      <c r="C19" s="592"/>
      <c r="U19" s="349"/>
    </row>
    <row r="20" spans="1:21" s="1292" customFormat="1" ht="15" hidden="1" customHeight="1">
      <c r="C20" s="592"/>
      <c r="U20" s="349"/>
    </row>
    <row r="21" spans="1:21" ht="15" customHeight="1">
      <c r="C21" s="94"/>
      <c r="D21" s="435"/>
      <c r="E21" s="435"/>
      <c r="F21" s="435"/>
      <c r="G21" s="435"/>
      <c r="H21" s="435"/>
      <c r="I21" s="435"/>
      <c r="J21" s="435"/>
    </row>
    <row r="22" spans="1:21" ht="27.75" customHeight="1">
      <c r="C22" s="94"/>
      <c r="D22" s="2067" t="s">
        <v>1667</v>
      </c>
      <c r="E22" s="2067"/>
      <c r="F22" s="2067"/>
      <c r="G22" s="2067"/>
      <c r="H22" s="2067"/>
      <c r="I22" s="2067"/>
      <c r="J22" s="596"/>
      <c r="K22" s="462"/>
    </row>
    <row r="23" spans="1:21" ht="15" customHeight="1">
      <c r="C23" s="94"/>
      <c r="D23" s="1927" t="str">
        <f>IF(org=0,"Не определено",org)</f>
        <v>НАО "СВЕЗА Мантурово"</v>
      </c>
      <c r="E23" s="1927"/>
      <c r="F23" s="1927"/>
      <c r="G23" s="1927"/>
      <c r="H23" s="1927"/>
      <c r="I23" s="1927"/>
      <c r="J23" s="596"/>
      <c r="K23" s="462"/>
    </row>
    <row r="24" spans="1:21" ht="15" customHeight="1">
      <c r="C24" s="94"/>
      <c r="D24" s="435"/>
      <c r="E24" s="435"/>
      <c r="F24" s="435"/>
      <c r="G24" s="462">
        <v>22</v>
      </c>
      <c r="H24" s="671"/>
      <c r="I24" s="462">
        <v>22</v>
      </c>
      <c r="J24" s="671"/>
    </row>
    <row r="25" spans="1:21" s="1560" customFormat="1" ht="0.75" customHeight="1">
      <c r="A25" s="678"/>
      <c r="C25" s="94"/>
      <c r="D25" s="435"/>
      <c r="E25" s="435"/>
      <c r="F25" s="435"/>
      <c r="G25" s="462"/>
      <c r="H25" s="671"/>
      <c r="I25" s="462" t="s">
        <v>113</v>
      </c>
      <c r="J25" s="671"/>
      <c r="K25" s="347"/>
      <c r="U25" s="595"/>
    </row>
    <row r="26" spans="1:21" ht="15" customHeight="1">
      <c r="C26" s="94"/>
      <c r="D26" s="630"/>
      <c r="E26" s="2130" t="s">
        <v>101</v>
      </c>
      <c r="F26" s="2131"/>
      <c r="G26" s="2128" t="str">
        <f>IF(G25="","",INDEX(DIFFERENTIATION_UNMERGE_VD,MATCH(G25,DIFFERENTIATION_ID_DIFF,0)))</f>
        <v/>
      </c>
      <c r="H26" s="2129"/>
      <c r="I26" s="2128">
        <f>IF(I25="","",INDEX(DIFFERENTIATION_UNMERGE_VD,MATCH(I25,DIFFERENTIATION_ID_DIFF,0)))</f>
        <v>0</v>
      </c>
      <c r="J26" s="2129"/>
      <c r="K26" s="1894" t="s">
        <v>283</v>
      </c>
    </row>
    <row r="27" spans="1:21" s="1560" customFormat="1" ht="15" customHeight="1">
      <c r="A27" s="678"/>
      <c r="C27" s="94"/>
      <c r="D27" s="630"/>
      <c r="E27" s="2130" t="s">
        <v>428</v>
      </c>
      <c r="F27" s="2131"/>
      <c r="G27" s="2128" t="str">
        <f>IF(G25="","",INDEX(DIFFERENTIATION_UNMERGE_AREA,MATCH(G25,DIFFERENTIATION_ID_DIFF,0)))</f>
        <v/>
      </c>
      <c r="H27" s="2129"/>
      <c r="I27" s="2128" t="str">
        <f>IF(I25="","",INDEX(DIFFERENTIATION_UNMERGE_AREA,MATCH(I25,DIFFERENTIATION_ID_DIFF,0)))</f>
        <v/>
      </c>
      <c r="J27" s="2129"/>
      <c r="K27" s="1898"/>
      <c r="U27" s="595"/>
    </row>
    <row r="28" spans="1:21" s="1560" customFormat="1" ht="15" customHeight="1">
      <c r="A28" s="678"/>
      <c r="C28" s="94"/>
      <c r="D28" s="630"/>
      <c r="E28" s="2130" t="s">
        <v>429</v>
      </c>
      <c r="F28" s="2131"/>
      <c r="G28" s="2128" t="str">
        <f>IF(G25="","",INDEX(DIFFERENTIATION_UNMERGE_SYSTEM,MATCH(G25,DIFFERENTIATION_ID_DIFF,0)))</f>
        <v/>
      </c>
      <c r="H28" s="2129"/>
      <c r="I28" s="2128" t="str">
        <f>IF(I25="","",INDEX(DIFFERENTIATION_UNMERGE_SYSTEM,MATCH(I25,DIFFERENTIATION_ID_DIFF,0)))</f>
        <v>без дифференциации</v>
      </c>
      <c r="J28" s="2129"/>
      <c r="K28" s="1898"/>
      <c r="U28" s="595"/>
    </row>
    <row r="29" spans="1:21" s="1560" customFormat="1" ht="15" customHeight="1">
      <c r="A29" s="678"/>
      <c r="C29" s="94"/>
      <c r="D29" s="2132" t="s">
        <v>282</v>
      </c>
      <c r="E29" s="2133"/>
      <c r="F29" s="2133"/>
      <c r="G29" s="805"/>
      <c r="H29" s="805"/>
      <c r="I29" s="805"/>
      <c r="J29" s="806"/>
      <c r="K29" s="1898"/>
      <c r="U29" s="595"/>
    </row>
    <row r="30" spans="1:21" ht="33.75" customHeight="1">
      <c r="C30" s="94"/>
      <c r="D30" s="680" t="s">
        <v>87</v>
      </c>
      <c r="E30" s="679" t="s">
        <v>284</v>
      </c>
      <c r="F30" s="679" t="s">
        <v>1626</v>
      </c>
      <c r="G30" s="726" t="s">
        <v>285</v>
      </c>
      <c r="H30" s="725" t="s">
        <v>392</v>
      </c>
      <c r="I30" s="604" t="s">
        <v>285</v>
      </c>
      <c r="J30" s="391" t="s">
        <v>392</v>
      </c>
      <c r="K30" s="1901"/>
    </row>
    <row r="31" spans="1:21" ht="15" hidden="1" customHeight="1">
      <c r="C31" s="94"/>
      <c r="D31" s="516"/>
      <c r="E31" s="516"/>
      <c r="F31" s="516"/>
      <c r="G31" s="579"/>
      <c r="H31" s="579"/>
      <c r="I31" s="579"/>
      <c r="J31" s="579"/>
      <c r="K31" s="204"/>
    </row>
    <row r="32" spans="1:21" ht="22.5" customHeight="1">
      <c r="A32" s="431"/>
      <c r="B32" s="431" t="s">
        <v>1668</v>
      </c>
      <c r="C32" s="452"/>
      <c r="D32" s="612">
        <v>1</v>
      </c>
      <c r="E32" s="613" t="s">
        <v>1669</v>
      </c>
      <c r="F32" s="611" t="s">
        <v>288</v>
      </c>
      <c r="G32" s="731" t="s">
        <v>288</v>
      </c>
      <c r="H32" s="731" t="s">
        <v>288</v>
      </c>
      <c r="I32" s="611" t="s">
        <v>288</v>
      </c>
      <c r="J32" s="611" t="s">
        <v>288</v>
      </c>
      <c r="K32" s="204"/>
    </row>
    <row r="33" spans="1:21" ht="11.25" customHeight="1">
      <c r="A33" s="431"/>
      <c r="C33" s="431"/>
      <c r="D33" s="268"/>
      <c r="E33" s="505" t="s">
        <v>1583</v>
      </c>
      <c r="F33" s="497"/>
      <c r="G33" s="497"/>
      <c r="H33" s="497"/>
      <c r="I33" s="497"/>
      <c r="J33" s="497"/>
      <c r="K33" s="498"/>
      <c r="U33" s="431"/>
    </row>
    <row r="34" spans="1:21" ht="22.5" customHeight="1">
      <c r="A34" s="431"/>
      <c r="B34" s="506" t="s">
        <v>463</v>
      </c>
      <c r="C34" s="452"/>
      <c r="D34" s="612">
        <v>2</v>
      </c>
      <c r="E34" s="613" t="s">
        <v>1670</v>
      </c>
      <c r="F34" s="738" t="s">
        <v>288</v>
      </c>
      <c r="G34" s="738" t="s">
        <v>288</v>
      </c>
      <c r="H34" s="738" t="s">
        <v>288</v>
      </c>
      <c r="I34" s="611"/>
      <c r="J34" s="611"/>
      <c r="K34" s="204"/>
    </row>
    <row r="35" spans="1:21" ht="11.25" customHeight="1">
      <c r="A35" s="431"/>
      <c r="C35" s="431"/>
      <c r="D35" s="268"/>
      <c r="E35" s="505" t="s">
        <v>1671</v>
      </c>
      <c r="F35" s="497"/>
      <c r="G35" s="614"/>
      <c r="H35" s="497"/>
      <c r="I35" s="614"/>
      <c r="J35" s="497"/>
      <c r="K35" s="498"/>
      <c r="U35" s="431"/>
    </row>
    <row r="36" spans="1:21" ht="67.5" customHeight="1">
      <c r="A36" s="431"/>
      <c r="B36" s="431" t="s">
        <v>1672</v>
      </c>
      <c r="C36" s="452"/>
      <c r="D36" s="612">
        <v>3</v>
      </c>
      <c r="E36" s="613" t="s">
        <v>1673</v>
      </c>
      <c r="F36" s="615" t="s">
        <v>288</v>
      </c>
      <c r="G36" s="732" t="s">
        <v>1674</v>
      </c>
      <c r="H36" s="731" t="s">
        <v>288</v>
      </c>
      <c r="I36" s="450" t="s">
        <v>1674</v>
      </c>
      <c r="J36" s="611" t="s">
        <v>288</v>
      </c>
      <c r="K36" s="204" t="s">
        <v>1675</v>
      </c>
    </row>
    <row r="37" spans="1:21" ht="11.25" customHeight="1">
      <c r="A37" s="431"/>
      <c r="C37" s="431"/>
      <c r="D37" s="268"/>
      <c r="E37" s="505" t="s">
        <v>1676</v>
      </c>
      <c r="F37" s="497"/>
      <c r="G37" s="614"/>
      <c r="H37" s="614"/>
      <c r="I37" s="614"/>
      <c r="J37" s="614"/>
      <c r="K37" s="498"/>
      <c r="U37" s="431"/>
    </row>
    <row r="38" spans="1:21" ht="67.5" customHeight="1">
      <c r="A38" s="431"/>
      <c r="B38" s="431" t="s">
        <v>1677</v>
      </c>
      <c r="C38" s="452"/>
      <c r="D38" s="612">
        <v>4</v>
      </c>
      <c r="E38" s="613" t="s">
        <v>1678</v>
      </c>
      <c r="F38" s="615" t="s">
        <v>288</v>
      </c>
      <c r="G38" s="732" t="s">
        <v>1674</v>
      </c>
      <c r="H38" s="733" t="s">
        <v>288</v>
      </c>
      <c r="I38" s="450" t="s">
        <v>1674</v>
      </c>
      <c r="J38" s="447" t="s">
        <v>288</v>
      </c>
      <c r="K38" s="599" t="s">
        <v>1679</v>
      </c>
    </row>
    <row r="39" spans="1:21" ht="11.25" customHeight="1">
      <c r="A39" s="431"/>
      <c r="C39" s="431"/>
      <c r="D39" s="268"/>
      <c r="E39" s="505" t="s">
        <v>1680</v>
      </c>
      <c r="F39" s="497"/>
      <c r="G39" s="497"/>
      <c r="H39" s="616"/>
      <c r="I39" s="497"/>
      <c r="J39" s="616"/>
      <c r="K39" s="498"/>
      <c r="U39" s="431"/>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F215"/>
  <sheetViews>
    <sheetView showGridLines="0" topLeftCell="C7" zoomScale="86" workbookViewId="0"/>
  </sheetViews>
  <sheetFormatPr defaultColWidth="10.59765625" defaultRowHeight="14.25" customHeight="1"/>
  <cols>
    <col min="1" max="1" width="25.09765625" style="1707" hidden="1" customWidth="1"/>
    <col min="2" max="2" width="9.09765625" style="1612" hidden="1" customWidth="1"/>
    <col min="3" max="3" width="3.69921875" style="265" customWidth="1"/>
    <col min="4" max="4" width="6.296875" style="1560" customWidth="1"/>
    <col min="5" max="5" width="46.69921875" style="1560" customWidth="1"/>
    <col min="6" max="6" width="35.69921875" style="1560" customWidth="1"/>
    <col min="7" max="7" width="3.69921875" style="1560" customWidth="1"/>
    <col min="8" max="9" width="11.69921875" style="1560" customWidth="1"/>
    <col min="10" max="11" width="35.69921875" style="1560" customWidth="1"/>
    <col min="12" max="12" width="84.796875" style="1560" customWidth="1"/>
    <col min="13" max="13" width="10.59765625" style="1560"/>
    <col min="14" max="15" width="10.59765625" style="1549"/>
    <col min="16" max="32" width="10.59765625" style="1560"/>
  </cols>
  <sheetData>
    <row r="1" spans="1:32" s="1560" customFormat="1" ht="14.25" hidden="1" customHeight="1">
      <c r="A1" s="1707"/>
      <c r="B1" s="293"/>
      <c r="C1" s="265"/>
      <c r="N1" s="1549"/>
      <c r="O1" s="1549"/>
      <c r="S1" s="749"/>
      <c r="AF1" s="170"/>
    </row>
    <row r="2" spans="1:32" s="1560" customFormat="1" ht="56.25" hidden="1" customHeight="1">
      <c r="A2" s="1708"/>
      <c r="B2" s="293"/>
      <c r="C2" s="265"/>
      <c r="D2" s="947"/>
      <c r="E2" s="947"/>
      <c r="F2" s="947"/>
      <c r="G2" s="1698"/>
      <c r="H2" s="1663"/>
      <c r="I2" s="1701"/>
      <c r="J2" s="1700"/>
      <c r="K2" s="1698" t="s">
        <v>288</v>
      </c>
      <c r="M2" s="256"/>
      <c r="N2" s="1549"/>
      <c r="O2" s="1549"/>
    </row>
    <row r="3" spans="1:32" ht="14.25" hidden="1" customHeight="1">
      <c r="S3" s="326"/>
      <c r="AF3" s="170"/>
    </row>
    <row r="4" spans="1:32" s="1560" customFormat="1" ht="56.25" hidden="1" customHeight="1">
      <c r="A4" s="1708"/>
      <c r="B4" s="293"/>
      <c r="C4" s="265"/>
      <c r="D4" s="947"/>
      <c r="E4" s="947"/>
      <c r="F4" s="947"/>
      <c r="G4" s="1697"/>
      <c r="H4" s="1663"/>
      <c r="I4" s="1701"/>
      <c r="J4" s="1706"/>
      <c r="K4" s="1698" t="s">
        <v>288</v>
      </c>
      <c r="M4" s="256"/>
      <c r="N4" s="1549"/>
      <c r="O4" s="1549"/>
    </row>
    <row r="5" spans="1:32" ht="14.25" hidden="1" customHeight="1"/>
    <row r="6" spans="1:32" ht="14.25" hidden="1" customHeight="1"/>
    <row r="7" spans="1:32" ht="6" customHeight="1">
      <c r="C7" s="300"/>
      <c r="D7" s="286"/>
      <c r="E7" s="286"/>
      <c r="F7" s="286"/>
      <c r="G7" s="286"/>
      <c r="H7" s="286"/>
      <c r="I7" s="286"/>
      <c r="J7" s="286"/>
      <c r="K7" s="16"/>
      <c r="L7" s="16"/>
    </row>
    <row r="8" spans="1:32" ht="26.25" customHeight="1">
      <c r="C8" s="300"/>
      <c r="D8" s="212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 ")&amp;" в сфере "&amp;TEMPLATE_SPHERE_RUS&amp;" на очередной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E8" s="2122"/>
      <c r="F8" s="2122"/>
      <c r="G8" s="2122"/>
      <c r="H8" s="2122"/>
      <c r="I8" s="2122"/>
      <c r="J8" s="2122"/>
      <c r="K8" s="2122"/>
      <c r="L8" s="137"/>
    </row>
    <row r="9" spans="1:32" ht="6" customHeight="1">
      <c r="C9" s="300"/>
      <c r="D9" s="286"/>
      <c r="E9" s="318"/>
      <c r="F9" s="318"/>
      <c r="G9" s="318"/>
      <c r="H9" s="318"/>
      <c r="I9" s="318"/>
      <c r="J9" s="318"/>
      <c r="K9" s="242"/>
      <c r="L9" s="110"/>
    </row>
    <row r="10" spans="1:32" ht="18.75" customHeight="1">
      <c r="C10" s="300"/>
      <c r="D10" s="286"/>
      <c r="E10" s="220" t="str">
        <f>"Дата подачи заявления об "&amp;IF(TITLE_DATE_PR_CHANGE="","утверждении","изменении")&amp;" тарифов"</f>
        <v>Дата подачи заявления об утверждении тарифов</v>
      </c>
      <c r="F10" s="2035" t="str">
        <f>IF(TITLE_DATE_CHANGE_PERIOD="",IF(TITLE_DATE_PR="","",TITLE_DATE_PR),TITLE_DATE_CHANGE_PERIOD)</f>
        <v/>
      </c>
      <c r="G10" s="2035"/>
      <c r="H10" s="2035"/>
      <c r="I10" s="2035"/>
      <c r="J10" s="2035"/>
      <c r="K10" s="2035"/>
      <c r="L10" s="327"/>
      <c r="M10" s="248"/>
    </row>
    <row r="11" spans="1:32" ht="18.75" customHeight="1">
      <c r="C11" s="300"/>
      <c r="D11" s="286"/>
      <c r="E11" s="220" t="str">
        <f>"Номер подачи заявления об "&amp;IF(TITLE_DATE_PR_CHANGE="","утверждении","изменении")&amp;" тарифов"</f>
        <v>Номер подачи заявления об утверждении тарифов</v>
      </c>
      <c r="F11" s="2035" t="str">
        <f>IF(TITLE_NUMBER_PR_CHANGE="",IF(TITLE_NUMBER_PR="","",TITLE_NUMBER_PR),TITLE_NUMBER_PR_CHANGE)</f>
        <v/>
      </c>
      <c r="G11" s="2035"/>
      <c r="H11" s="2035"/>
      <c r="I11" s="2035"/>
      <c r="J11" s="2035"/>
      <c r="K11" s="2035"/>
      <c r="L11" s="327"/>
      <c r="M11" s="248"/>
    </row>
    <row r="12" spans="1:32" ht="14.25" customHeight="1">
      <c r="C12" s="300"/>
      <c r="D12" s="286"/>
      <c r="E12" s="318"/>
      <c r="F12" s="318"/>
      <c r="G12" s="318"/>
      <c r="H12" s="318"/>
      <c r="I12" s="318"/>
      <c r="J12" s="318"/>
      <c r="K12" s="671"/>
      <c r="L12" s="110"/>
    </row>
    <row r="13" spans="1:32" ht="21" customHeight="1">
      <c r="C13" s="300"/>
      <c r="D13" s="1925" t="s">
        <v>282</v>
      </c>
      <c r="E13" s="1925"/>
      <c r="F13" s="1925"/>
      <c r="G13" s="1925"/>
      <c r="H13" s="1925"/>
      <c r="I13" s="1925"/>
      <c r="J13" s="1925"/>
      <c r="K13" s="1925"/>
      <c r="L13" s="2029" t="s">
        <v>283</v>
      </c>
    </row>
    <row r="14" spans="1:32" ht="21" customHeight="1">
      <c r="C14" s="300"/>
      <c r="D14" s="2058" t="s">
        <v>87</v>
      </c>
      <c r="E14" s="1932" t="s">
        <v>118</v>
      </c>
      <c r="F14" s="1932" t="s">
        <v>119</v>
      </c>
      <c r="G14" s="2137" t="s">
        <v>1681</v>
      </c>
      <c r="H14" s="2138"/>
      <c r="I14" s="2139"/>
      <c r="J14" s="1932" t="s">
        <v>285</v>
      </c>
      <c r="K14" s="1932" t="s">
        <v>392</v>
      </c>
      <c r="L14" s="2029"/>
    </row>
    <row r="15" spans="1:32" ht="21" customHeight="1">
      <c r="C15" s="300"/>
      <c r="D15" s="2060"/>
      <c r="E15" s="1933"/>
      <c r="F15" s="1933"/>
      <c r="G15" s="1931" t="s">
        <v>1562</v>
      </c>
      <c r="H15" s="1945"/>
      <c r="I15" s="35" t="s">
        <v>1682</v>
      </c>
      <c r="J15" s="1933"/>
      <c r="K15" s="1933"/>
      <c r="L15" s="2029"/>
    </row>
    <row r="16" spans="1:32" ht="12" hidden="1" customHeight="1">
      <c r="C16" s="300"/>
      <c r="D16" s="197"/>
      <c r="E16" s="197"/>
      <c r="F16" s="197"/>
      <c r="G16" s="2140"/>
      <c r="H16" s="2140"/>
      <c r="I16" s="197"/>
      <c r="J16" s="197"/>
      <c r="K16" s="197"/>
      <c r="L16" s="197"/>
    </row>
    <row r="17" spans="1:15" ht="18.75" customHeight="1">
      <c r="A17" s="1708"/>
      <c r="C17" s="300"/>
      <c r="D17" s="1696" t="s">
        <v>105</v>
      </c>
      <c r="E17" s="2126" t="str">
        <f>"Предлагаемый метод регулирования"&amp;IF(TEMPLATE_SPHERE="HEAT"," в сфере "&amp;TEMPLATE_SPHERE_RUS,"")</f>
        <v>Предлагаемый метод регулирования</v>
      </c>
      <c r="F17" s="2126"/>
      <c r="G17" s="2126"/>
      <c r="H17" s="2126"/>
      <c r="I17" s="2126"/>
      <c r="J17" s="2141" t="s">
        <v>288</v>
      </c>
      <c r="K17" s="2126"/>
      <c r="L17" s="1695"/>
      <c r="M17" s="256"/>
    </row>
    <row r="18" spans="1:15" ht="56.25" hidden="1" customHeight="1">
      <c r="A18" s="1708" t="s">
        <v>151</v>
      </c>
      <c r="C18" s="2136"/>
      <c r="D18" s="1919"/>
      <c r="E18" s="1975" t="str">
        <f>INDEX(PT_DIFFERENTIATION_VTAR,MATCH(A18,PT_DIFFERENTIATION_VTAR_ID,0))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8" s="1975" t="str">
        <f>INDEX(PT_DIFFERENTIATION_VDET,MATCH(A18,PT_DIFFERENTIATION_VTAR_ID,0))</f>
        <v/>
      </c>
      <c r="G18" s="115"/>
      <c r="H18" s="1663"/>
      <c r="I18" s="1701"/>
      <c r="J18" s="1700"/>
      <c r="K18" s="1693" t="s">
        <v>288</v>
      </c>
      <c r="L18" s="18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M18" s="256"/>
    </row>
    <row r="19" spans="1:15" ht="18.75" hidden="1" customHeight="1">
      <c r="A19" s="1708"/>
      <c r="B19" s="293" t="s">
        <v>1683</v>
      </c>
      <c r="C19" s="2136"/>
      <c r="D19" s="1919"/>
      <c r="E19" s="1975"/>
      <c r="F19" s="1975"/>
      <c r="G19" s="329"/>
      <c r="H19" s="324" t="s">
        <v>1582</v>
      </c>
      <c r="I19" s="270"/>
      <c r="J19" s="330"/>
      <c r="K19" s="118"/>
      <c r="L19" s="1885"/>
      <c r="M19" s="256"/>
    </row>
    <row r="20" spans="1:15" s="1560" customFormat="1" ht="26.25" hidden="1" customHeight="1">
      <c r="A20" s="1708" t="s">
        <v>157</v>
      </c>
      <c r="B20" s="293"/>
      <c r="C20" s="2136"/>
      <c r="D20" s="1919"/>
      <c r="E20" s="1975" t="str">
        <f>INDEX(PT_DIFFERENTIATION_VTAR,MATCH(A20,PT_DIFFERENTIATION_VTAR_ID,0))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20" s="1975" t="str">
        <f>INDEX(PT_DIFFERENTIATION_VDET,MATCH(A20,PT_DIFFERENTIATION_VTAR_ID,0))</f>
        <v/>
      </c>
      <c r="G20" s="1694"/>
      <c r="H20" s="1663"/>
      <c r="I20" s="1701"/>
      <c r="J20" s="1700"/>
      <c r="K20" s="1693" t="s">
        <v>288</v>
      </c>
      <c r="L20" s="1885"/>
      <c r="M20" s="256"/>
      <c r="N20" s="1549"/>
      <c r="O20" s="1549"/>
    </row>
    <row r="21" spans="1:15" s="1560" customFormat="1" ht="18.75" hidden="1" customHeight="1">
      <c r="A21" s="1708"/>
      <c r="B21" s="293" t="s">
        <v>1683</v>
      </c>
      <c r="C21" s="2136"/>
      <c r="D21" s="1919"/>
      <c r="E21" s="1975"/>
      <c r="F21" s="1975"/>
      <c r="G21" s="329"/>
      <c r="H21" s="324" t="s">
        <v>1582</v>
      </c>
      <c r="I21" s="270"/>
      <c r="J21" s="330"/>
      <c r="K21" s="118"/>
      <c r="L21" s="1885"/>
      <c r="M21" s="256"/>
      <c r="N21" s="1549"/>
      <c r="O21" s="1549"/>
    </row>
    <row r="22" spans="1:15" s="1560" customFormat="1" ht="18.75" hidden="1" customHeight="1">
      <c r="A22" s="1708" t="s">
        <v>163</v>
      </c>
      <c r="B22" s="293"/>
      <c r="C22" s="2136"/>
      <c r="D22" s="1919"/>
      <c r="E22" s="1975" t="str">
        <f>INDEX(PT_DIFFERENTIATION_VTAR,MATCH(A22,PT_DIFFERENTIATION_VTAR_ID,0))</f>
        <v>Тарифы на теплоноситель, поставляемый теплоснабжающими организациями потребителям, другим теплоснабжающим организациям</v>
      </c>
      <c r="F22" s="1975" t="str">
        <f>INDEX(PT_DIFFERENTIATION_VDET,MATCH(A22,PT_DIFFERENTIATION_VTAR_ID,0))</f>
        <v/>
      </c>
      <c r="G22" s="1694"/>
      <c r="H22" s="1663"/>
      <c r="I22" s="1701"/>
      <c r="J22" s="1700"/>
      <c r="K22" s="1693" t="s">
        <v>288</v>
      </c>
      <c r="L22" s="1885"/>
      <c r="M22" s="256"/>
      <c r="N22" s="1549"/>
      <c r="O22" s="1549"/>
    </row>
    <row r="23" spans="1:15" s="1560" customFormat="1" ht="18.75" hidden="1" customHeight="1">
      <c r="A23" s="1708"/>
      <c r="B23" s="293" t="s">
        <v>1683</v>
      </c>
      <c r="C23" s="2136"/>
      <c r="D23" s="1919"/>
      <c r="E23" s="1975"/>
      <c r="F23" s="1975"/>
      <c r="G23" s="329"/>
      <c r="H23" s="324" t="s">
        <v>1582</v>
      </c>
      <c r="I23" s="270"/>
      <c r="J23" s="330"/>
      <c r="K23" s="118"/>
      <c r="L23" s="1885"/>
      <c r="M23" s="256"/>
      <c r="N23" s="1549"/>
      <c r="O23" s="1549"/>
    </row>
    <row r="24" spans="1:15" s="1560" customFormat="1" ht="41.25" hidden="1" customHeight="1">
      <c r="A24" s="1708" t="s">
        <v>169</v>
      </c>
      <c r="B24" s="293"/>
      <c r="C24" s="2136"/>
      <c r="D24" s="1919"/>
      <c r="E24" s="1975" t="str">
        <f>INDEX(PT_DIFFERENTIATION_VTAR,MATCH(A24,PT_DIFFERENTIATION_VTAR_ID,0))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24" s="1975" t="str">
        <f>INDEX(PT_DIFFERENTIATION_VDET,MATCH(A24,PT_DIFFERENTIATION_VTAR_ID,0))</f>
        <v/>
      </c>
      <c r="G24" s="1694"/>
      <c r="H24" s="1663"/>
      <c r="I24" s="1701"/>
      <c r="J24" s="1700"/>
      <c r="K24" s="1693" t="s">
        <v>288</v>
      </c>
      <c r="L24" s="1885"/>
      <c r="M24" s="256"/>
      <c r="N24" s="1549"/>
      <c r="O24" s="1549"/>
    </row>
    <row r="25" spans="1:15" s="1560" customFormat="1" ht="18.75" hidden="1" customHeight="1">
      <c r="A25" s="1708"/>
      <c r="B25" s="293" t="s">
        <v>1683</v>
      </c>
      <c r="C25" s="2136"/>
      <c r="D25" s="1919"/>
      <c r="E25" s="1975"/>
      <c r="F25" s="1975"/>
      <c r="G25" s="329"/>
      <c r="H25" s="324" t="s">
        <v>1582</v>
      </c>
      <c r="I25" s="270"/>
      <c r="J25" s="330"/>
      <c r="K25" s="118"/>
      <c r="L25" s="1885"/>
      <c r="M25" s="256"/>
      <c r="N25" s="1549"/>
      <c r="O25" s="1549"/>
    </row>
    <row r="26" spans="1:15" s="1560" customFormat="1" ht="18.75" hidden="1" customHeight="1">
      <c r="A26" s="1708" t="s">
        <v>175</v>
      </c>
      <c r="B26" s="293"/>
      <c r="C26" s="2136"/>
      <c r="D26" s="1919"/>
      <c r="E26" s="1975" t="str">
        <f>INDEX(PT_DIFFERENTIATION_VTAR,MATCH(A26,PT_DIFFERENTIATION_VTAR_ID,0))</f>
        <v>Тарифы на услуги по передаче тепловой энергии</v>
      </c>
      <c r="F26" s="1975" t="str">
        <f>INDEX(PT_DIFFERENTIATION_VDET,MATCH(A26,PT_DIFFERENTIATION_VTAR_ID,0))</f>
        <v/>
      </c>
      <c r="G26" s="1694"/>
      <c r="H26" s="1663"/>
      <c r="I26" s="1701"/>
      <c r="J26" s="1700"/>
      <c r="K26" s="1693" t="s">
        <v>288</v>
      </c>
      <c r="L26" s="1885"/>
      <c r="M26" s="256"/>
      <c r="N26" s="1549"/>
      <c r="O26" s="1549"/>
    </row>
    <row r="27" spans="1:15" s="1560" customFormat="1" ht="18.75" hidden="1" customHeight="1">
      <c r="A27" s="1708"/>
      <c r="B27" s="293" t="s">
        <v>1683</v>
      </c>
      <c r="C27" s="2136"/>
      <c r="D27" s="1919"/>
      <c r="E27" s="1975"/>
      <c r="F27" s="1975"/>
      <c r="G27" s="329"/>
      <c r="H27" s="324" t="s">
        <v>1582</v>
      </c>
      <c r="I27" s="270"/>
      <c r="J27" s="330"/>
      <c r="K27" s="118"/>
      <c r="L27" s="1885"/>
      <c r="M27" s="256"/>
      <c r="N27" s="1549"/>
      <c r="O27" s="1549"/>
    </row>
    <row r="28" spans="1:15" s="1560" customFormat="1" ht="18.75" hidden="1" customHeight="1">
      <c r="A28" s="1708" t="s">
        <v>181</v>
      </c>
      <c r="B28" s="293"/>
      <c r="C28" s="2136"/>
      <c r="D28" s="1919"/>
      <c r="E28" s="1975" t="str">
        <f>INDEX(PT_DIFFERENTIATION_VTAR,MATCH(A28,PT_DIFFERENTIATION_VTAR_ID,0))</f>
        <v>Тарифы на услуги по передаче теплоносителя</v>
      </c>
      <c r="F28" s="1975" t="str">
        <f>INDEX(PT_DIFFERENTIATION_VDET,MATCH(A28,PT_DIFFERENTIATION_VTAR_ID,0))</f>
        <v/>
      </c>
      <c r="G28" s="1694"/>
      <c r="H28" s="1663"/>
      <c r="I28" s="1701"/>
      <c r="J28" s="1700"/>
      <c r="K28" s="1693" t="s">
        <v>288</v>
      </c>
      <c r="L28" s="1885"/>
      <c r="M28" s="256"/>
      <c r="N28" s="1549"/>
      <c r="O28" s="1549"/>
    </row>
    <row r="29" spans="1:15" s="1560" customFormat="1" ht="18.75" hidden="1" customHeight="1">
      <c r="A29" s="1708"/>
      <c r="B29" s="293" t="s">
        <v>1683</v>
      </c>
      <c r="C29" s="2136"/>
      <c r="D29" s="1919"/>
      <c r="E29" s="1975"/>
      <c r="F29" s="1975"/>
      <c r="G29" s="329"/>
      <c r="H29" s="324" t="s">
        <v>1582</v>
      </c>
      <c r="I29" s="270"/>
      <c r="J29" s="330"/>
      <c r="K29" s="118"/>
      <c r="L29" s="1885"/>
      <c r="M29" s="256"/>
      <c r="N29" s="1549"/>
      <c r="O29" s="1549"/>
    </row>
    <row r="30" spans="1:15" s="1560" customFormat="1" ht="18.75" hidden="1" customHeight="1">
      <c r="A30" s="1708" t="s">
        <v>187</v>
      </c>
      <c r="B30" s="293"/>
      <c r="C30" s="2136"/>
      <c r="D30" s="1919"/>
      <c r="E30" s="1975" t="str">
        <f>INDEX(PT_DIFFERENTIATION_VTAR,MATCH(A30,PT_DIFFERENTIATION_VTAR_ID,0))</f>
        <v>Плата за услуги по поддержанию резервной тепловой мощности при отсутствии потребления тепловой энергии</v>
      </c>
      <c r="F30" s="1975" t="str">
        <f>INDEX(PT_DIFFERENTIATION_VDET,MATCH(A30,PT_DIFFERENTIATION_VTAR_ID,0))</f>
        <v/>
      </c>
      <c r="G30" s="1694"/>
      <c r="H30" s="1663"/>
      <c r="I30" s="1701"/>
      <c r="J30" s="1700"/>
      <c r="K30" s="1693" t="s">
        <v>288</v>
      </c>
      <c r="L30" s="1885"/>
      <c r="M30" s="256"/>
      <c r="N30" s="1549"/>
      <c r="O30" s="1549"/>
    </row>
    <row r="31" spans="1:15" s="1560" customFormat="1" ht="18.75" hidden="1" customHeight="1">
      <c r="A31" s="1708"/>
      <c r="B31" s="293" t="s">
        <v>1683</v>
      </c>
      <c r="C31" s="2136"/>
      <c r="D31" s="1919"/>
      <c r="E31" s="1975"/>
      <c r="F31" s="1975"/>
      <c r="G31" s="329"/>
      <c r="H31" s="324" t="s">
        <v>1582</v>
      </c>
      <c r="I31" s="270"/>
      <c r="J31" s="330"/>
      <c r="K31" s="118"/>
      <c r="L31" s="1885"/>
      <c r="M31" s="256"/>
      <c r="N31" s="1549"/>
      <c r="O31" s="1549"/>
    </row>
    <row r="32" spans="1:15" s="1560" customFormat="1" ht="18.75" hidden="1" customHeight="1">
      <c r="A32" s="1708" t="s">
        <v>193</v>
      </c>
      <c r="B32" s="293"/>
      <c r="C32" s="2136"/>
      <c r="D32" s="1919"/>
      <c r="E32" s="1975" t="str">
        <f>INDEX(PT_DIFFERENTIATION_VTAR,MATCH(A32,PT_DIFFERENTIATION_VTAR_ID,0))</f>
        <v>Плата за подключение (технологическое присоединение) к системе теплоснабжения</v>
      </c>
      <c r="F32" s="1975" t="str">
        <f>INDEX(PT_DIFFERENTIATION_VDET,MATCH(A32,PT_DIFFERENTIATION_VTAR_ID,0))</f>
        <v/>
      </c>
      <c r="G32" s="1694"/>
      <c r="H32" s="1663"/>
      <c r="I32" s="1701"/>
      <c r="J32" s="1700"/>
      <c r="K32" s="1693" t="s">
        <v>288</v>
      </c>
      <c r="L32" s="1885"/>
      <c r="M32" s="256"/>
      <c r="N32" s="1549"/>
      <c r="O32" s="1549"/>
    </row>
    <row r="33" spans="1:15" s="1560" customFormat="1" ht="18.75" hidden="1" customHeight="1">
      <c r="A33" s="1708"/>
      <c r="B33" s="293" t="s">
        <v>1683</v>
      </c>
      <c r="C33" s="2136"/>
      <c r="D33" s="1919"/>
      <c r="E33" s="1975"/>
      <c r="F33" s="1975"/>
      <c r="G33" s="329"/>
      <c r="H33" s="324" t="s">
        <v>1582</v>
      </c>
      <c r="I33" s="270"/>
      <c r="J33" s="330"/>
      <c r="K33" s="118"/>
      <c r="L33" s="1885"/>
      <c r="M33" s="256"/>
      <c r="N33" s="1549"/>
      <c r="O33" s="1549"/>
    </row>
    <row r="34" spans="1:15" s="1560" customFormat="1" ht="18.75" hidden="1" customHeight="1">
      <c r="A34" s="1708" t="s">
        <v>207</v>
      </c>
      <c r="B34" s="293"/>
      <c r="C34" s="2136"/>
      <c r="D34" s="1919"/>
      <c r="E34" s="1975" t="str">
        <f>INDEX(PT_DIFFERENTIATION_VTAR,MATCH(A34,PT_DIFFERENTIATION_VTAR_ID,0))</f>
        <v>Тариф на питьевую воду (питьевое водоснабжение)</v>
      </c>
      <c r="F34" s="1975" t="str">
        <f>INDEX(PT_DIFFERENTIATION_VDET,MATCH(A34,PT_DIFFERENTIATION_VTAR_ID,0))</f>
        <v/>
      </c>
      <c r="G34" s="1694"/>
      <c r="H34" s="1663"/>
      <c r="I34" s="1701"/>
      <c r="J34" s="1700"/>
      <c r="K34" s="1693" t="s">
        <v>288</v>
      </c>
      <c r="L34" s="1885"/>
      <c r="M34" s="256"/>
      <c r="N34" s="1549"/>
      <c r="O34" s="1549"/>
    </row>
    <row r="35" spans="1:15" s="1560" customFormat="1" ht="18.75" hidden="1" customHeight="1">
      <c r="A35" s="1708"/>
      <c r="B35" s="293" t="s">
        <v>1683</v>
      </c>
      <c r="C35" s="2136"/>
      <c r="D35" s="1919"/>
      <c r="E35" s="1975"/>
      <c r="F35" s="1975"/>
      <c r="G35" s="329"/>
      <c r="H35" s="324" t="s">
        <v>1582</v>
      </c>
      <c r="I35" s="270"/>
      <c r="J35" s="330"/>
      <c r="K35" s="118"/>
      <c r="L35" s="1885"/>
      <c r="M35" s="256"/>
      <c r="N35" s="1549"/>
      <c r="O35" s="1549"/>
    </row>
    <row r="36" spans="1:15" s="1560" customFormat="1" ht="18.75" hidden="1" customHeight="1">
      <c r="A36" s="1708" t="s">
        <v>212</v>
      </c>
      <c r="B36" s="293"/>
      <c r="C36" s="2136"/>
      <c r="D36" s="1919"/>
      <c r="E36" s="1975" t="str">
        <f>INDEX(PT_DIFFERENTIATION_VTAR,MATCH(A36,PT_DIFFERENTIATION_VTAR_ID,0))</f>
        <v>Тариф на техническую воду</v>
      </c>
      <c r="F36" s="1975" t="str">
        <f>INDEX(PT_DIFFERENTIATION_VDET,MATCH(A36,PT_DIFFERENTIATION_VTAR_ID,0))</f>
        <v/>
      </c>
      <c r="G36" s="1694"/>
      <c r="H36" s="1663"/>
      <c r="I36" s="1701"/>
      <c r="J36" s="1700"/>
      <c r="K36" s="1693" t="s">
        <v>288</v>
      </c>
      <c r="L36" s="1885"/>
      <c r="M36" s="256"/>
      <c r="N36" s="1549"/>
      <c r="O36" s="1549"/>
    </row>
    <row r="37" spans="1:15" s="1560" customFormat="1" ht="18.75" hidden="1" customHeight="1">
      <c r="A37" s="1708"/>
      <c r="B37" s="293" t="s">
        <v>1683</v>
      </c>
      <c r="C37" s="2136"/>
      <c r="D37" s="1919"/>
      <c r="E37" s="1975"/>
      <c r="F37" s="1975"/>
      <c r="G37" s="329"/>
      <c r="H37" s="324" t="s">
        <v>1582</v>
      </c>
      <c r="I37" s="270"/>
      <c r="J37" s="330"/>
      <c r="K37" s="118"/>
      <c r="L37" s="1885"/>
      <c r="M37" s="256"/>
      <c r="N37" s="1549"/>
      <c r="O37" s="1549"/>
    </row>
    <row r="38" spans="1:15" s="1560" customFormat="1" ht="18.75" hidden="1" customHeight="1">
      <c r="A38" s="1708" t="s">
        <v>217</v>
      </c>
      <c r="B38" s="293"/>
      <c r="C38" s="2136"/>
      <c r="D38" s="1919"/>
      <c r="E38" s="1975" t="str">
        <f>INDEX(PT_DIFFERENTIATION_VTAR,MATCH(A38,PT_DIFFERENTIATION_VTAR_ID,0))</f>
        <v>Тариф на транспортировку воды</v>
      </c>
      <c r="F38" s="1975" t="str">
        <f>INDEX(PT_DIFFERENTIATION_VDET,MATCH(A38,PT_DIFFERENTIATION_VTAR_ID,0))</f>
        <v/>
      </c>
      <c r="G38" s="1694"/>
      <c r="H38" s="1663"/>
      <c r="I38" s="1701"/>
      <c r="J38" s="1700"/>
      <c r="K38" s="1693" t="s">
        <v>288</v>
      </c>
      <c r="L38" s="1885"/>
      <c r="M38" s="256"/>
      <c r="N38" s="1549"/>
      <c r="O38" s="1549"/>
    </row>
    <row r="39" spans="1:15" s="1560" customFormat="1" ht="18.75" hidden="1" customHeight="1">
      <c r="A39" s="1708"/>
      <c r="B39" s="293" t="s">
        <v>1683</v>
      </c>
      <c r="C39" s="2136"/>
      <c r="D39" s="1919"/>
      <c r="E39" s="1975"/>
      <c r="F39" s="1975"/>
      <c r="G39" s="329"/>
      <c r="H39" s="324" t="s">
        <v>1582</v>
      </c>
      <c r="I39" s="270"/>
      <c r="J39" s="330"/>
      <c r="K39" s="118"/>
      <c r="L39" s="1885"/>
      <c r="M39" s="256"/>
      <c r="N39" s="1549"/>
      <c r="O39" s="1549"/>
    </row>
    <row r="40" spans="1:15" s="1560" customFormat="1" ht="18.75" hidden="1" customHeight="1">
      <c r="A40" s="1708" t="s">
        <v>222</v>
      </c>
      <c r="B40" s="293"/>
      <c r="C40" s="2136"/>
      <c r="D40" s="1919"/>
      <c r="E40" s="1975" t="str">
        <f>INDEX(PT_DIFFERENTIATION_VTAR,MATCH(A40,PT_DIFFERENTIATION_VTAR_ID,0))</f>
        <v>Тариф на подвоз воды</v>
      </c>
      <c r="F40" s="1975" t="str">
        <f>INDEX(PT_DIFFERENTIATION_VDET,MATCH(A40,PT_DIFFERENTIATION_VTAR_ID,0))</f>
        <v/>
      </c>
      <c r="G40" s="1694"/>
      <c r="H40" s="1663"/>
      <c r="I40" s="1701"/>
      <c r="J40" s="1700"/>
      <c r="K40" s="1693" t="s">
        <v>288</v>
      </c>
      <c r="L40" s="1885"/>
      <c r="M40" s="256"/>
      <c r="N40" s="1549"/>
      <c r="O40" s="1549"/>
    </row>
    <row r="41" spans="1:15" s="1560" customFormat="1" ht="18.75" hidden="1" customHeight="1">
      <c r="A41" s="1708"/>
      <c r="B41" s="293" t="s">
        <v>1683</v>
      </c>
      <c r="C41" s="2136"/>
      <c r="D41" s="1919"/>
      <c r="E41" s="1975"/>
      <c r="F41" s="1975"/>
      <c r="G41" s="329"/>
      <c r="H41" s="324" t="s">
        <v>1582</v>
      </c>
      <c r="I41" s="270"/>
      <c r="J41" s="330"/>
      <c r="K41" s="118"/>
      <c r="L41" s="1885"/>
      <c r="M41" s="256"/>
      <c r="N41" s="1549"/>
      <c r="O41" s="1549"/>
    </row>
    <row r="42" spans="1:15" s="1560" customFormat="1" ht="18.75" hidden="1" customHeight="1">
      <c r="A42" s="1708" t="s">
        <v>227</v>
      </c>
      <c r="B42" s="293"/>
      <c r="C42" s="2136"/>
      <c r="D42" s="1919"/>
      <c r="E42" s="1975" t="str">
        <f>INDEX(PT_DIFFERENTIATION_VTAR,MATCH(A42,PT_DIFFERENTIATION_VTAR_ID,0))</f>
        <v>Тариф на подключение (технологическое присоединение) к централизованной системе холодного водоснабжения</v>
      </c>
      <c r="F42" s="1975" t="str">
        <f>INDEX(PT_DIFFERENTIATION_VDET,MATCH(A42,PT_DIFFERENTIATION_VTAR_ID,0))</f>
        <v/>
      </c>
      <c r="G42" s="1694"/>
      <c r="H42" s="1663"/>
      <c r="I42" s="1701"/>
      <c r="J42" s="1700"/>
      <c r="K42" s="1693" t="s">
        <v>288</v>
      </c>
      <c r="L42" s="1885"/>
      <c r="M42" s="256"/>
      <c r="N42" s="1549"/>
      <c r="O42" s="1549"/>
    </row>
    <row r="43" spans="1:15" s="1560" customFormat="1" ht="18.75" hidden="1" customHeight="1">
      <c r="A43" s="1708"/>
      <c r="B43" s="293" t="s">
        <v>1683</v>
      </c>
      <c r="C43" s="2136"/>
      <c r="D43" s="1919"/>
      <c r="E43" s="1975"/>
      <c r="F43" s="1975"/>
      <c r="G43" s="329"/>
      <c r="H43" s="324" t="s">
        <v>1582</v>
      </c>
      <c r="I43" s="270"/>
      <c r="J43" s="330"/>
      <c r="K43" s="118"/>
      <c r="L43" s="1885"/>
      <c r="M43" s="256"/>
      <c r="N43" s="1549"/>
      <c r="O43" s="1549"/>
    </row>
    <row r="44" spans="1:15" s="1560" customFormat="1" ht="18.75" hidden="1" customHeight="1">
      <c r="A44" s="1708" t="s">
        <v>232</v>
      </c>
      <c r="B44" s="293"/>
      <c r="C44" s="2136"/>
      <c r="D44" s="1919"/>
      <c r="E44" s="1975" t="str">
        <f>INDEX(PT_DIFFERENTIATION_VTAR,MATCH(A44,PT_DIFFERENTIATION_VTAR_ID,0))</f>
        <v>Тариф на горячую воду (горячее водоснабжение)</v>
      </c>
      <c r="F44" s="1975" t="str">
        <f>INDEX(PT_DIFFERENTIATION_VDET,MATCH(A44,PT_DIFFERENTIATION_VTAR_ID,0))</f>
        <v/>
      </c>
      <c r="G44" s="1694"/>
      <c r="H44" s="1663"/>
      <c r="I44" s="1701"/>
      <c r="J44" s="1700"/>
      <c r="K44" s="1693" t="s">
        <v>288</v>
      </c>
      <c r="L44" s="1885"/>
      <c r="M44" s="256"/>
      <c r="N44" s="1549"/>
      <c r="O44" s="1549"/>
    </row>
    <row r="45" spans="1:15" s="1560" customFormat="1" ht="18.75" hidden="1" customHeight="1">
      <c r="A45" s="1708"/>
      <c r="B45" s="293" t="s">
        <v>1683</v>
      </c>
      <c r="C45" s="2136"/>
      <c r="D45" s="1919"/>
      <c r="E45" s="1975"/>
      <c r="F45" s="1975"/>
      <c r="G45" s="329"/>
      <c r="H45" s="324" t="s">
        <v>1582</v>
      </c>
      <c r="I45" s="270"/>
      <c r="J45" s="330"/>
      <c r="K45" s="118"/>
      <c r="L45" s="1885"/>
      <c r="M45" s="256"/>
      <c r="N45" s="1549"/>
      <c r="O45" s="1549"/>
    </row>
    <row r="46" spans="1:15" s="1560" customFormat="1" ht="18.75" hidden="1" customHeight="1">
      <c r="A46" s="1708" t="s">
        <v>237</v>
      </c>
      <c r="B46" s="293"/>
      <c r="C46" s="2136"/>
      <c r="D46" s="1919"/>
      <c r="E46" s="1975" t="str">
        <f>INDEX(PT_DIFFERENTIATION_VTAR,MATCH(A46,PT_DIFFERENTIATION_VTAR_ID,0))</f>
        <v>Тариф на транспортировку горячей воды</v>
      </c>
      <c r="F46" s="1975" t="str">
        <f>INDEX(PT_DIFFERENTIATION_VDET,MATCH(A46,PT_DIFFERENTIATION_VTAR_ID,0))</f>
        <v/>
      </c>
      <c r="G46" s="1694"/>
      <c r="H46" s="1663"/>
      <c r="I46" s="1701"/>
      <c r="J46" s="1700"/>
      <c r="K46" s="1693" t="s">
        <v>288</v>
      </c>
      <c r="L46" s="1885"/>
      <c r="M46" s="256"/>
      <c r="N46" s="1549"/>
      <c r="O46" s="1549"/>
    </row>
    <row r="47" spans="1:15" s="1560" customFormat="1" ht="18.75" hidden="1" customHeight="1">
      <c r="A47" s="1708"/>
      <c r="B47" s="293" t="s">
        <v>1683</v>
      </c>
      <c r="C47" s="2136"/>
      <c r="D47" s="1919"/>
      <c r="E47" s="1975"/>
      <c r="F47" s="1975"/>
      <c r="G47" s="329"/>
      <c r="H47" s="324" t="s">
        <v>1582</v>
      </c>
      <c r="I47" s="270"/>
      <c r="J47" s="330"/>
      <c r="K47" s="118"/>
      <c r="L47" s="1885"/>
      <c r="M47" s="256"/>
      <c r="N47" s="1549"/>
      <c r="O47" s="1549"/>
    </row>
    <row r="48" spans="1:15" s="1560" customFormat="1" ht="18.75" hidden="1" customHeight="1">
      <c r="A48" s="1708" t="s">
        <v>242</v>
      </c>
      <c r="B48" s="293"/>
      <c r="C48" s="2136"/>
      <c r="D48" s="1919"/>
      <c r="E48" s="1975" t="str">
        <f>INDEX(PT_DIFFERENTIATION_VTAR,MATCH(A48,PT_DIFFERENTIATION_VTAR_ID,0))</f>
        <v>Тариф на подключение (технологическое присоединение) к централизованной системе горячего водоснабжения</v>
      </c>
      <c r="F48" s="1975" t="str">
        <f>INDEX(PT_DIFFERENTIATION_VDET,MATCH(A48,PT_DIFFERENTIATION_VTAR_ID,0))</f>
        <v/>
      </c>
      <c r="G48" s="1694"/>
      <c r="H48" s="1663"/>
      <c r="I48" s="1701"/>
      <c r="J48" s="1700"/>
      <c r="K48" s="1693" t="s">
        <v>288</v>
      </c>
      <c r="L48" s="1885"/>
      <c r="M48" s="256"/>
      <c r="N48" s="1549"/>
      <c r="O48" s="1549"/>
    </row>
    <row r="49" spans="1:15" s="1560" customFormat="1" ht="18.75" hidden="1" customHeight="1">
      <c r="A49" s="1708"/>
      <c r="B49" s="293" t="s">
        <v>1683</v>
      </c>
      <c r="C49" s="2136"/>
      <c r="D49" s="1919"/>
      <c r="E49" s="1975"/>
      <c r="F49" s="1975"/>
      <c r="G49" s="329"/>
      <c r="H49" s="324" t="s">
        <v>1582</v>
      </c>
      <c r="I49" s="270"/>
      <c r="J49" s="330"/>
      <c r="K49" s="118"/>
      <c r="L49" s="1885"/>
      <c r="M49" s="256"/>
      <c r="N49" s="1549"/>
      <c r="O49" s="1549"/>
    </row>
    <row r="50" spans="1:15" s="1560" customFormat="1" ht="18.75" hidden="1" customHeight="1">
      <c r="A50" s="1708" t="s">
        <v>247</v>
      </c>
      <c r="B50" s="293"/>
      <c r="C50" s="2136"/>
      <c r="D50" s="1919"/>
      <c r="E50" s="1975" t="str">
        <f>INDEX(PT_DIFFERENTIATION_VTAR,MATCH(A50,PT_DIFFERENTIATION_VTAR_ID,0))</f>
        <v>Тариф на водоотведение</v>
      </c>
      <c r="F50" s="1975" t="str">
        <f>INDEX(PT_DIFFERENTIATION_VDET,MATCH(A50,PT_DIFFERENTIATION_VTAR_ID,0))</f>
        <v/>
      </c>
      <c r="G50" s="1694"/>
      <c r="H50" s="1663"/>
      <c r="I50" s="1701"/>
      <c r="J50" s="1700"/>
      <c r="K50" s="1693" t="s">
        <v>288</v>
      </c>
      <c r="L50" s="1885"/>
      <c r="M50" s="256"/>
      <c r="N50" s="1549"/>
      <c r="O50" s="1549"/>
    </row>
    <row r="51" spans="1:15" s="1560" customFormat="1" ht="18.75" hidden="1" customHeight="1">
      <c r="A51" s="1708"/>
      <c r="B51" s="293" t="s">
        <v>1683</v>
      </c>
      <c r="C51" s="2136"/>
      <c r="D51" s="1919"/>
      <c r="E51" s="1975"/>
      <c r="F51" s="1975"/>
      <c r="G51" s="329"/>
      <c r="H51" s="324" t="s">
        <v>1582</v>
      </c>
      <c r="I51" s="270"/>
      <c r="J51" s="330"/>
      <c r="K51" s="118"/>
      <c r="L51" s="1885"/>
      <c r="M51" s="256"/>
      <c r="N51" s="1549"/>
      <c r="O51" s="1549"/>
    </row>
    <row r="52" spans="1:15" s="1560" customFormat="1" ht="18.75" hidden="1" customHeight="1">
      <c r="A52" s="1708" t="s">
        <v>252</v>
      </c>
      <c r="B52" s="293"/>
      <c r="C52" s="2136"/>
      <c r="D52" s="1919"/>
      <c r="E52" s="1975" t="str">
        <f>INDEX(PT_DIFFERENTIATION_VTAR,MATCH(A52,PT_DIFFERENTIATION_VTAR_ID,0))</f>
        <v>Тариф на транспортировку сточных вод</v>
      </c>
      <c r="F52" s="1975" t="str">
        <f>INDEX(PT_DIFFERENTIATION_VDET,MATCH(A52,PT_DIFFERENTIATION_VTAR_ID,0))</f>
        <v/>
      </c>
      <c r="G52" s="1694"/>
      <c r="H52" s="1663"/>
      <c r="I52" s="1701"/>
      <c r="J52" s="1700"/>
      <c r="K52" s="1693" t="s">
        <v>288</v>
      </c>
      <c r="L52" s="1885"/>
      <c r="M52" s="256"/>
      <c r="N52" s="1549"/>
      <c r="O52" s="1549"/>
    </row>
    <row r="53" spans="1:15" s="1560" customFormat="1" ht="18.75" hidden="1" customHeight="1">
      <c r="A53" s="1708"/>
      <c r="B53" s="293" t="s">
        <v>1683</v>
      </c>
      <c r="C53" s="2136"/>
      <c r="D53" s="1919"/>
      <c r="E53" s="1975"/>
      <c r="F53" s="1975"/>
      <c r="G53" s="329"/>
      <c r="H53" s="324" t="s">
        <v>1582</v>
      </c>
      <c r="I53" s="270"/>
      <c r="J53" s="330"/>
      <c r="K53" s="118"/>
      <c r="L53" s="1885"/>
      <c r="M53" s="256"/>
      <c r="N53" s="1549"/>
      <c r="O53" s="1549"/>
    </row>
    <row r="54" spans="1:15" s="1560" customFormat="1" ht="18.75" hidden="1" customHeight="1">
      <c r="A54" s="1708" t="s">
        <v>257</v>
      </c>
      <c r="B54" s="293"/>
      <c r="C54" s="2136"/>
      <c r="D54" s="1919"/>
      <c r="E54" s="1975" t="str">
        <f>INDEX(PT_DIFFERENTIATION_VTAR,MATCH(A54,PT_DIFFERENTIATION_VTAR_ID,0))</f>
        <v>Тариф на подключение (технологическое присоединение) к централизованной системе водоотведения</v>
      </c>
      <c r="F54" s="1975" t="str">
        <f>INDEX(PT_DIFFERENTIATION_VDET,MATCH(A54,PT_DIFFERENTIATION_VTAR_ID,0))</f>
        <v/>
      </c>
      <c r="G54" s="1694"/>
      <c r="H54" s="1663"/>
      <c r="I54" s="1701"/>
      <c r="J54" s="1700"/>
      <c r="K54" s="1693" t="s">
        <v>288</v>
      </c>
      <c r="L54" s="1885"/>
      <c r="M54" s="256"/>
      <c r="N54" s="1549"/>
      <c r="O54" s="1549"/>
    </row>
    <row r="55" spans="1:15" s="1560" customFormat="1" ht="18.75" hidden="1" customHeight="1">
      <c r="A55" s="1708"/>
      <c r="B55" s="293" t="s">
        <v>1683</v>
      </c>
      <c r="C55" s="2136"/>
      <c r="D55" s="1919"/>
      <c r="E55" s="1975"/>
      <c r="F55" s="1975"/>
      <c r="G55" s="329"/>
      <c r="H55" s="324" t="s">
        <v>1582</v>
      </c>
      <c r="I55" s="270"/>
      <c r="J55" s="330"/>
      <c r="K55" s="118"/>
      <c r="L55" s="1885"/>
      <c r="M55" s="256"/>
      <c r="N55" s="1549"/>
      <c r="O55" s="1549"/>
    </row>
    <row r="56" spans="1:15" ht="18.75" customHeight="1">
      <c r="A56" s="1708"/>
      <c r="C56" s="300"/>
      <c r="D56" s="67" t="s">
        <v>106</v>
      </c>
      <c r="E56" s="212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F56" s="2126"/>
      <c r="G56" s="2126"/>
      <c r="H56" s="2126"/>
      <c r="I56" s="2126"/>
      <c r="J56" s="2126"/>
      <c r="K56" s="2126"/>
      <c r="L56" s="211"/>
      <c r="M56" s="256"/>
    </row>
    <row r="57" spans="1:15" ht="33.75" customHeight="1">
      <c r="A57" s="1708"/>
      <c r="C57" s="300"/>
      <c r="D57" s="328"/>
      <c r="E57" s="115" t="s">
        <v>288</v>
      </c>
      <c r="F57" s="115" t="s">
        <v>288</v>
      </c>
      <c r="G57" s="1931" t="s">
        <v>288</v>
      </c>
      <c r="H57" s="1945"/>
      <c r="I57" s="115" t="s">
        <v>288</v>
      </c>
      <c r="J57" s="115" t="s">
        <v>288</v>
      </c>
      <c r="K57" s="331"/>
      <c r="L57" s="266" t="s">
        <v>1684</v>
      </c>
      <c r="M57" s="256"/>
    </row>
    <row r="58" spans="1:15" ht="18.75" customHeight="1">
      <c r="A58" s="1708"/>
      <c r="C58" s="300"/>
      <c r="D58" s="67" t="s">
        <v>89</v>
      </c>
      <c r="E58" s="2126" t="s">
        <v>1685</v>
      </c>
      <c r="F58" s="2126"/>
      <c r="G58" s="2126"/>
      <c r="H58" s="2126"/>
      <c r="I58" s="2126"/>
      <c r="J58" s="2126"/>
      <c r="K58" s="2126"/>
      <c r="L58" s="211"/>
      <c r="M58" s="256"/>
    </row>
    <row r="59" spans="1:15" s="1560" customFormat="1" ht="56.25" hidden="1" customHeight="1">
      <c r="A59" s="1708" t="s">
        <v>151</v>
      </c>
      <c r="B59" s="293"/>
      <c r="C59" s="2136"/>
      <c r="D59" s="1919"/>
      <c r="E59" s="1975" t="str">
        <f>INDEX(PT_DIFFERENTIATION_VTAR,MATCH(A59,PT_DIFFERENTIATION_VTAR_ID,0))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59" s="1975" t="str">
        <f>INDEX(PT_DIFFERENTIATION_VDET,MATCH(A59,PT_DIFFERENTIATION_VTAR_ID,0))</f>
        <v/>
      </c>
      <c r="G59" s="1694"/>
      <c r="H59" s="1663"/>
      <c r="I59" s="1701"/>
      <c r="J59" s="1706"/>
      <c r="K59" s="1693" t="s">
        <v>288</v>
      </c>
      <c r="L59" s="18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M59" s="256"/>
      <c r="N59" s="1549"/>
      <c r="O59" s="1549"/>
    </row>
    <row r="60" spans="1:15" s="1560" customFormat="1" ht="18.75" hidden="1" customHeight="1">
      <c r="A60" s="1708"/>
      <c r="B60" s="293" t="s">
        <v>1686</v>
      </c>
      <c r="C60" s="2136"/>
      <c r="D60" s="1919"/>
      <c r="E60" s="1975"/>
      <c r="F60" s="1975"/>
      <c r="G60" s="329"/>
      <c r="H60" s="324" t="s">
        <v>1582</v>
      </c>
      <c r="I60" s="270"/>
      <c r="J60" s="330"/>
      <c r="K60" s="118"/>
      <c r="L60" s="1885"/>
      <c r="M60" s="256"/>
      <c r="N60" s="1549"/>
      <c r="O60" s="1549"/>
    </row>
    <row r="61" spans="1:15" s="1560" customFormat="1" ht="26.25" hidden="1" customHeight="1">
      <c r="A61" s="1708" t="s">
        <v>157</v>
      </c>
      <c r="B61" s="293"/>
      <c r="C61" s="2136"/>
      <c r="D61" s="1919"/>
      <c r="E61" s="1975" t="str">
        <f>INDEX(PT_DIFFERENTIATION_VTAR,MATCH(A61,PT_DIFFERENTIATION_VTAR_ID,0))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61" s="1975" t="str">
        <f>INDEX(PT_DIFFERENTIATION_VDET,MATCH(A61,PT_DIFFERENTIATION_VTAR_ID,0))</f>
        <v/>
      </c>
      <c r="G61" s="1694"/>
      <c r="H61" s="1663"/>
      <c r="I61" s="1701"/>
      <c r="J61" s="1706"/>
      <c r="K61" s="1693" t="s">
        <v>288</v>
      </c>
      <c r="L61" s="1886"/>
      <c r="M61" s="256"/>
      <c r="N61" s="1549"/>
      <c r="O61" s="1549"/>
    </row>
    <row r="62" spans="1:15" s="1560" customFormat="1" ht="18.75" hidden="1" customHeight="1">
      <c r="A62" s="1708"/>
      <c r="B62" s="293" t="s">
        <v>1686</v>
      </c>
      <c r="C62" s="2136"/>
      <c r="D62" s="1919"/>
      <c r="E62" s="1975"/>
      <c r="F62" s="1975"/>
      <c r="G62" s="329"/>
      <c r="H62" s="324" t="s">
        <v>1582</v>
      </c>
      <c r="I62" s="270"/>
      <c r="J62" s="330"/>
      <c r="K62" s="118"/>
      <c r="L62" s="263"/>
      <c r="M62" s="256"/>
      <c r="N62" s="1549"/>
      <c r="O62" s="1549"/>
    </row>
    <row r="63" spans="1:15" s="1560" customFormat="1" ht="18.75" hidden="1" customHeight="1">
      <c r="A63" s="1708" t="s">
        <v>163</v>
      </c>
      <c r="B63" s="293"/>
      <c r="C63" s="2136"/>
      <c r="D63" s="1919"/>
      <c r="E63" s="1975" t="str">
        <f>INDEX(PT_DIFFERENTIATION_VTAR,MATCH(A63,PT_DIFFERENTIATION_VTAR_ID,0))</f>
        <v>Тарифы на теплоноситель, поставляемый теплоснабжающими организациями потребителям, другим теплоснабжающим организациям</v>
      </c>
      <c r="F63" s="1975" t="str">
        <f>INDEX(PT_DIFFERENTIATION_VDET,MATCH(A63,PT_DIFFERENTIATION_VTAR_ID,0))</f>
        <v/>
      </c>
      <c r="G63" s="1694"/>
      <c r="H63" s="1663"/>
      <c r="I63" s="1701"/>
      <c r="J63" s="1706"/>
      <c r="K63" s="1693" t="s">
        <v>288</v>
      </c>
      <c r="L63" s="263"/>
      <c r="M63" s="256"/>
      <c r="N63" s="1549"/>
      <c r="O63" s="1549"/>
    </row>
    <row r="64" spans="1:15" s="1560" customFormat="1" ht="18.75" hidden="1" customHeight="1">
      <c r="A64" s="1708"/>
      <c r="B64" s="293" t="s">
        <v>1686</v>
      </c>
      <c r="C64" s="2136"/>
      <c r="D64" s="1919"/>
      <c r="E64" s="1975"/>
      <c r="F64" s="1975"/>
      <c r="G64" s="329"/>
      <c r="H64" s="324" t="s">
        <v>1582</v>
      </c>
      <c r="I64" s="270"/>
      <c r="J64" s="330"/>
      <c r="K64" s="118"/>
      <c r="L64" s="263"/>
      <c r="M64" s="256"/>
      <c r="N64" s="1549"/>
      <c r="O64" s="1549"/>
    </row>
    <row r="65" spans="1:15" s="1560" customFormat="1" ht="41.25" hidden="1" customHeight="1">
      <c r="A65" s="1708" t="s">
        <v>169</v>
      </c>
      <c r="B65" s="293"/>
      <c r="C65" s="2136"/>
      <c r="D65" s="1919"/>
      <c r="E65" s="1975" t="str">
        <f>INDEX(PT_DIFFERENTIATION_VTAR,MATCH(A65,PT_DIFFERENTIATION_VTAR_ID,0))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65" s="1975" t="str">
        <f>INDEX(PT_DIFFERENTIATION_VDET,MATCH(A65,PT_DIFFERENTIATION_VTAR_ID,0))</f>
        <v/>
      </c>
      <c r="G65" s="1694"/>
      <c r="H65" s="1663"/>
      <c r="I65" s="1701"/>
      <c r="J65" s="1706"/>
      <c r="K65" s="1693" t="s">
        <v>288</v>
      </c>
      <c r="L65" s="263"/>
      <c r="M65" s="256"/>
      <c r="N65" s="1549"/>
      <c r="O65" s="1549"/>
    </row>
    <row r="66" spans="1:15" s="1560" customFormat="1" ht="18.75" hidden="1" customHeight="1">
      <c r="A66" s="1708"/>
      <c r="B66" s="293" t="s">
        <v>1686</v>
      </c>
      <c r="C66" s="2136"/>
      <c r="D66" s="1919"/>
      <c r="E66" s="1975"/>
      <c r="F66" s="1975"/>
      <c r="G66" s="329"/>
      <c r="H66" s="324" t="s">
        <v>1582</v>
      </c>
      <c r="I66" s="270"/>
      <c r="J66" s="330"/>
      <c r="K66" s="118"/>
      <c r="L66" s="263"/>
      <c r="M66" s="256"/>
      <c r="N66" s="1549"/>
      <c r="O66" s="1549"/>
    </row>
    <row r="67" spans="1:15" s="1560" customFormat="1" ht="18.75" hidden="1" customHeight="1">
      <c r="A67" s="1708" t="s">
        <v>175</v>
      </c>
      <c r="B67" s="293"/>
      <c r="C67" s="2136"/>
      <c r="D67" s="1919"/>
      <c r="E67" s="1975" t="str">
        <f>INDEX(PT_DIFFERENTIATION_VTAR,MATCH(A67,PT_DIFFERENTIATION_VTAR_ID,0))</f>
        <v>Тарифы на услуги по передаче тепловой энергии</v>
      </c>
      <c r="F67" s="1975" t="str">
        <f>INDEX(PT_DIFFERENTIATION_VDET,MATCH(A67,PT_DIFFERENTIATION_VTAR_ID,0))</f>
        <v/>
      </c>
      <c r="G67" s="1694"/>
      <c r="H67" s="1663"/>
      <c r="I67" s="1701"/>
      <c r="J67" s="1706"/>
      <c r="K67" s="1693" t="s">
        <v>288</v>
      </c>
      <c r="L67" s="263"/>
      <c r="M67" s="256"/>
      <c r="N67" s="1549"/>
      <c r="O67" s="1549"/>
    </row>
    <row r="68" spans="1:15" s="1560" customFormat="1" ht="18.75" hidden="1" customHeight="1">
      <c r="A68" s="1708"/>
      <c r="B68" s="293" t="s">
        <v>1686</v>
      </c>
      <c r="C68" s="2136"/>
      <c r="D68" s="1919"/>
      <c r="E68" s="1975"/>
      <c r="F68" s="1975"/>
      <c r="G68" s="329"/>
      <c r="H68" s="324" t="s">
        <v>1582</v>
      </c>
      <c r="I68" s="270"/>
      <c r="J68" s="330"/>
      <c r="K68" s="118"/>
      <c r="L68" s="263"/>
      <c r="M68" s="256"/>
      <c r="N68" s="1549"/>
      <c r="O68" s="1549"/>
    </row>
    <row r="69" spans="1:15" s="1560" customFormat="1" ht="18.75" hidden="1" customHeight="1">
      <c r="A69" s="1708" t="s">
        <v>181</v>
      </c>
      <c r="B69" s="293"/>
      <c r="C69" s="2136"/>
      <c r="D69" s="1919"/>
      <c r="E69" s="1975" t="str">
        <f>INDEX(PT_DIFFERENTIATION_VTAR,MATCH(A69,PT_DIFFERENTIATION_VTAR_ID,0))</f>
        <v>Тарифы на услуги по передаче теплоносителя</v>
      </c>
      <c r="F69" s="1975" t="str">
        <f>INDEX(PT_DIFFERENTIATION_VDET,MATCH(A69,PT_DIFFERENTIATION_VTAR_ID,0))</f>
        <v/>
      </c>
      <c r="G69" s="1694"/>
      <c r="H69" s="1663"/>
      <c r="I69" s="1701"/>
      <c r="J69" s="1706"/>
      <c r="K69" s="1693" t="s">
        <v>288</v>
      </c>
      <c r="L69" s="263"/>
      <c r="M69" s="256"/>
      <c r="N69" s="1549"/>
      <c r="O69" s="1549"/>
    </row>
    <row r="70" spans="1:15" s="1560" customFormat="1" ht="18.75" hidden="1" customHeight="1">
      <c r="A70" s="1708"/>
      <c r="B70" s="293" t="s">
        <v>1686</v>
      </c>
      <c r="C70" s="2136"/>
      <c r="D70" s="1919"/>
      <c r="E70" s="1975"/>
      <c r="F70" s="1975"/>
      <c r="G70" s="329"/>
      <c r="H70" s="324" t="s">
        <v>1582</v>
      </c>
      <c r="I70" s="270"/>
      <c r="J70" s="330"/>
      <c r="K70" s="118"/>
      <c r="L70" s="263"/>
      <c r="M70" s="256"/>
      <c r="N70" s="1549"/>
      <c r="O70" s="1549"/>
    </row>
    <row r="71" spans="1:15" s="1560" customFormat="1" ht="18.75" hidden="1" customHeight="1">
      <c r="A71" s="1708" t="s">
        <v>187</v>
      </c>
      <c r="B71" s="293"/>
      <c r="C71" s="2136"/>
      <c r="D71" s="1919"/>
      <c r="E71" s="1975" t="str">
        <f>INDEX(PT_DIFFERENTIATION_VTAR,MATCH(A71,PT_DIFFERENTIATION_VTAR_ID,0))</f>
        <v>Плата за услуги по поддержанию резервной тепловой мощности при отсутствии потребления тепловой энергии</v>
      </c>
      <c r="F71" s="1975" t="str">
        <f>INDEX(PT_DIFFERENTIATION_VDET,MATCH(A71,PT_DIFFERENTIATION_VTAR_ID,0))</f>
        <v/>
      </c>
      <c r="G71" s="1694"/>
      <c r="H71" s="1663"/>
      <c r="I71" s="1701"/>
      <c r="J71" s="1706"/>
      <c r="K71" s="1693" t="s">
        <v>288</v>
      </c>
      <c r="L71" s="263"/>
      <c r="M71" s="256"/>
      <c r="N71" s="1549"/>
      <c r="O71" s="1549"/>
    </row>
    <row r="72" spans="1:15" s="1560" customFormat="1" ht="18.75" hidden="1" customHeight="1">
      <c r="A72" s="1708"/>
      <c r="B72" s="293" t="s">
        <v>1686</v>
      </c>
      <c r="C72" s="2136"/>
      <c r="D72" s="1919"/>
      <c r="E72" s="1975"/>
      <c r="F72" s="1975"/>
      <c r="G72" s="329"/>
      <c r="H72" s="324" t="s">
        <v>1582</v>
      </c>
      <c r="I72" s="270"/>
      <c r="J72" s="330"/>
      <c r="K72" s="118"/>
      <c r="L72" s="263"/>
      <c r="M72" s="256"/>
      <c r="N72" s="1549"/>
      <c r="O72" s="1549"/>
    </row>
    <row r="73" spans="1:15" s="1560" customFormat="1" ht="18.75" hidden="1" customHeight="1">
      <c r="A73" s="1708" t="s">
        <v>193</v>
      </c>
      <c r="B73" s="293"/>
      <c r="C73" s="2136"/>
      <c r="D73" s="1919"/>
      <c r="E73" s="1975" t="str">
        <f>INDEX(PT_DIFFERENTIATION_VTAR,MATCH(A73,PT_DIFFERENTIATION_VTAR_ID,0))</f>
        <v>Плата за подключение (технологическое присоединение) к системе теплоснабжения</v>
      </c>
      <c r="F73" s="1975" t="str">
        <f>INDEX(PT_DIFFERENTIATION_VDET,MATCH(A73,PT_DIFFERENTIATION_VTAR_ID,0))</f>
        <v/>
      </c>
      <c r="G73" s="1694"/>
      <c r="H73" s="1663"/>
      <c r="I73" s="1701"/>
      <c r="J73" s="1706"/>
      <c r="K73" s="1693" t="s">
        <v>288</v>
      </c>
      <c r="L73" s="263"/>
      <c r="M73" s="256"/>
      <c r="N73" s="1549"/>
      <c r="O73" s="1549"/>
    </row>
    <row r="74" spans="1:15" s="1560" customFormat="1" ht="18.75" hidden="1" customHeight="1">
      <c r="A74" s="1708"/>
      <c r="B74" s="293" t="s">
        <v>1686</v>
      </c>
      <c r="C74" s="2136"/>
      <c r="D74" s="1919"/>
      <c r="E74" s="1975"/>
      <c r="F74" s="1975"/>
      <c r="G74" s="329"/>
      <c r="H74" s="324" t="s">
        <v>1582</v>
      </c>
      <c r="I74" s="270"/>
      <c r="J74" s="330"/>
      <c r="K74" s="118"/>
      <c r="L74" s="263"/>
      <c r="M74" s="256"/>
      <c r="N74" s="1549"/>
      <c r="O74" s="1549"/>
    </row>
    <row r="75" spans="1:15" s="1560" customFormat="1" ht="18.75" hidden="1" customHeight="1">
      <c r="A75" s="1708" t="s">
        <v>207</v>
      </c>
      <c r="B75" s="293"/>
      <c r="C75" s="2136"/>
      <c r="D75" s="1919"/>
      <c r="E75" s="1975" t="str">
        <f>INDEX(PT_DIFFERENTIATION_VTAR,MATCH(A75,PT_DIFFERENTIATION_VTAR_ID,0))</f>
        <v>Тариф на питьевую воду (питьевое водоснабжение)</v>
      </c>
      <c r="F75" s="1975" t="str">
        <f>INDEX(PT_DIFFERENTIATION_VDET,MATCH(A75,PT_DIFFERENTIATION_VTAR_ID,0))</f>
        <v/>
      </c>
      <c r="G75" s="1694"/>
      <c r="H75" s="1663"/>
      <c r="I75" s="1701"/>
      <c r="J75" s="1706"/>
      <c r="K75" s="1693" t="s">
        <v>288</v>
      </c>
      <c r="L75" s="263"/>
      <c r="M75" s="256"/>
      <c r="N75" s="1549"/>
      <c r="O75" s="1549"/>
    </row>
    <row r="76" spans="1:15" s="1560" customFormat="1" ht="18.75" hidden="1" customHeight="1">
      <c r="A76" s="1708"/>
      <c r="B76" s="293" t="s">
        <v>1686</v>
      </c>
      <c r="C76" s="2136"/>
      <c r="D76" s="1919"/>
      <c r="E76" s="1975"/>
      <c r="F76" s="1975"/>
      <c r="G76" s="329"/>
      <c r="H76" s="324" t="s">
        <v>1582</v>
      </c>
      <c r="I76" s="270"/>
      <c r="J76" s="330"/>
      <c r="K76" s="118"/>
      <c r="L76" s="263"/>
      <c r="M76" s="256"/>
      <c r="N76" s="1549"/>
      <c r="O76" s="1549"/>
    </row>
    <row r="77" spans="1:15" s="1560" customFormat="1" ht="18.75" hidden="1" customHeight="1">
      <c r="A77" s="1708" t="s">
        <v>212</v>
      </c>
      <c r="B77" s="293"/>
      <c r="C77" s="2136"/>
      <c r="D77" s="1919"/>
      <c r="E77" s="1975" t="str">
        <f>INDEX(PT_DIFFERENTIATION_VTAR,MATCH(A77,PT_DIFFERENTIATION_VTAR_ID,0))</f>
        <v>Тариф на техническую воду</v>
      </c>
      <c r="F77" s="1975" t="str">
        <f>INDEX(PT_DIFFERENTIATION_VDET,MATCH(A77,PT_DIFFERENTIATION_VTAR_ID,0))</f>
        <v/>
      </c>
      <c r="G77" s="1694"/>
      <c r="H77" s="1663"/>
      <c r="I77" s="1701"/>
      <c r="J77" s="1706"/>
      <c r="K77" s="1693" t="s">
        <v>288</v>
      </c>
      <c r="L77" s="263"/>
      <c r="M77" s="256"/>
      <c r="N77" s="1549"/>
      <c r="O77" s="1549"/>
    </row>
    <row r="78" spans="1:15" s="1560" customFormat="1" ht="18.75" hidden="1" customHeight="1">
      <c r="A78" s="1708"/>
      <c r="B78" s="293" t="s">
        <v>1686</v>
      </c>
      <c r="C78" s="2136"/>
      <c r="D78" s="1919"/>
      <c r="E78" s="1975"/>
      <c r="F78" s="1975"/>
      <c r="G78" s="329"/>
      <c r="H78" s="324" t="s">
        <v>1582</v>
      </c>
      <c r="I78" s="270"/>
      <c r="J78" s="330"/>
      <c r="K78" s="118"/>
      <c r="L78" s="263"/>
      <c r="M78" s="256"/>
      <c r="N78" s="1549"/>
      <c r="O78" s="1549"/>
    </row>
    <row r="79" spans="1:15" s="1560" customFormat="1" ht="18.75" hidden="1" customHeight="1">
      <c r="A79" s="1708" t="s">
        <v>217</v>
      </c>
      <c r="B79" s="293"/>
      <c r="C79" s="2136"/>
      <c r="D79" s="1919"/>
      <c r="E79" s="1975" t="str">
        <f>INDEX(PT_DIFFERENTIATION_VTAR,MATCH(A79,PT_DIFFERENTIATION_VTAR_ID,0))</f>
        <v>Тариф на транспортировку воды</v>
      </c>
      <c r="F79" s="1975" t="str">
        <f>INDEX(PT_DIFFERENTIATION_VDET,MATCH(A79,PT_DIFFERENTIATION_VTAR_ID,0))</f>
        <v/>
      </c>
      <c r="G79" s="1694"/>
      <c r="H79" s="1663"/>
      <c r="I79" s="1701"/>
      <c r="J79" s="1706"/>
      <c r="K79" s="1693" t="s">
        <v>288</v>
      </c>
      <c r="L79" s="263"/>
      <c r="M79" s="256"/>
      <c r="N79" s="1549"/>
      <c r="O79" s="1549"/>
    </row>
    <row r="80" spans="1:15" s="1560" customFormat="1" ht="18.75" hidden="1" customHeight="1">
      <c r="A80" s="1708"/>
      <c r="B80" s="293" t="s">
        <v>1686</v>
      </c>
      <c r="C80" s="2136"/>
      <c r="D80" s="1919"/>
      <c r="E80" s="1975"/>
      <c r="F80" s="1975"/>
      <c r="G80" s="329"/>
      <c r="H80" s="324" t="s">
        <v>1582</v>
      </c>
      <c r="I80" s="270"/>
      <c r="J80" s="330"/>
      <c r="K80" s="118"/>
      <c r="L80" s="263"/>
      <c r="M80" s="256"/>
      <c r="N80" s="1549"/>
      <c r="O80" s="1549"/>
    </row>
    <row r="81" spans="1:15" s="1560" customFormat="1" ht="18.75" hidden="1" customHeight="1">
      <c r="A81" s="1708" t="s">
        <v>222</v>
      </c>
      <c r="B81" s="293"/>
      <c r="C81" s="2136"/>
      <c r="D81" s="1919"/>
      <c r="E81" s="1975" t="str">
        <f>INDEX(PT_DIFFERENTIATION_VTAR,MATCH(A81,PT_DIFFERENTIATION_VTAR_ID,0))</f>
        <v>Тариф на подвоз воды</v>
      </c>
      <c r="F81" s="1975" t="str">
        <f>INDEX(PT_DIFFERENTIATION_VDET,MATCH(A81,PT_DIFFERENTIATION_VTAR_ID,0))</f>
        <v/>
      </c>
      <c r="G81" s="1694"/>
      <c r="H81" s="1663"/>
      <c r="I81" s="1701"/>
      <c r="J81" s="1706"/>
      <c r="K81" s="1693" t="s">
        <v>288</v>
      </c>
      <c r="L81" s="263"/>
      <c r="M81" s="256"/>
      <c r="N81" s="1549"/>
      <c r="O81" s="1549"/>
    </row>
    <row r="82" spans="1:15" s="1560" customFormat="1" ht="18.75" hidden="1" customHeight="1">
      <c r="A82" s="1708"/>
      <c r="B82" s="293" t="s">
        <v>1686</v>
      </c>
      <c r="C82" s="2136"/>
      <c r="D82" s="1919"/>
      <c r="E82" s="1975"/>
      <c r="F82" s="1975"/>
      <c r="G82" s="329"/>
      <c r="H82" s="324" t="s">
        <v>1582</v>
      </c>
      <c r="I82" s="270"/>
      <c r="J82" s="330"/>
      <c r="K82" s="118"/>
      <c r="L82" s="263"/>
      <c r="M82" s="256"/>
      <c r="N82" s="1549"/>
      <c r="O82" s="1549"/>
    </row>
    <row r="83" spans="1:15" s="1560" customFormat="1" ht="18.75" hidden="1" customHeight="1">
      <c r="A83" s="1708" t="s">
        <v>227</v>
      </c>
      <c r="B83" s="293"/>
      <c r="C83" s="2136"/>
      <c r="D83" s="1919"/>
      <c r="E83" s="1975" t="str">
        <f>INDEX(PT_DIFFERENTIATION_VTAR,MATCH(A83,PT_DIFFERENTIATION_VTAR_ID,0))</f>
        <v>Тариф на подключение (технологическое присоединение) к централизованной системе холодного водоснабжения</v>
      </c>
      <c r="F83" s="1975" t="str">
        <f>INDEX(PT_DIFFERENTIATION_VDET,MATCH(A83,PT_DIFFERENTIATION_VTAR_ID,0))</f>
        <v/>
      </c>
      <c r="G83" s="1694"/>
      <c r="H83" s="1663"/>
      <c r="I83" s="1701"/>
      <c r="J83" s="1706"/>
      <c r="K83" s="1693" t="s">
        <v>288</v>
      </c>
      <c r="L83" s="263"/>
      <c r="M83" s="256"/>
      <c r="N83" s="1549"/>
      <c r="O83" s="1549"/>
    </row>
    <row r="84" spans="1:15" s="1560" customFormat="1" ht="18.75" hidden="1" customHeight="1">
      <c r="A84" s="1708"/>
      <c r="B84" s="293" t="s">
        <v>1686</v>
      </c>
      <c r="C84" s="2136"/>
      <c r="D84" s="1919"/>
      <c r="E84" s="1975"/>
      <c r="F84" s="1975"/>
      <c r="G84" s="329"/>
      <c r="H84" s="324" t="s">
        <v>1582</v>
      </c>
      <c r="I84" s="270"/>
      <c r="J84" s="330"/>
      <c r="K84" s="118"/>
      <c r="L84" s="263"/>
      <c r="M84" s="256"/>
      <c r="N84" s="1549"/>
      <c r="O84" s="1549"/>
    </row>
    <row r="85" spans="1:15" s="1560" customFormat="1" ht="18.75" hidden="1" customHeight="1">
      <c r="A85" s="1708" t="s">
        <v>232</v>
      </c>
      <c r="B85" s="293"/>
      <c r="C85" s="2136"/>
      <c r="D85" s="1919"/>
      <c r="E85" s="1975" t="str">
        <f>INDEX(PT_DIFFERENTIATION_VTAR,MATCH(A85,PT_DIFFERENTIATION_VTAR_ID,0))</f>
        <v>Тариф на горячую воду (горячее водоснабжение)</v>
      </c>
      <c r="F85" s="1975" t="str">
        <f>INDEX(PT_DIFFERENTIATION_VDET,MATCH(A85,PT_DIFFERENTIATION_VTAR_ID,0))</f>
        <v/>
      </c>
      <c r="G85" s="1694"/>
      <c r="H85" s="1663"/>
      <c r="I85" s="1701"/>
      <c r="J85" s="1706"/>
      <c r="K85" s="1693" t="s">
        <v>288</v>
      </c>
      <c r="L85" s="263"/>
      <c r="M85" s="256"/>
      <c r="N85" s="1549"/>
      <c r="O85" s="1549"/>
    </row>
    <row r="86" spans="1:15" s="1560" customFormat="1" ht="18.75" hidden="1" customHeight="1">
      <c r="A86" s="1708"/>
      <c r="B86" s="293" t="s">
        <v>1686</v>
      </c>
      <c r="C86" s="2136"/>
      <c r="D86" s="1919"/>
      <c r="E86" s="1975"/>
      <c r="F86" s="1975"/>
      <c r="G86" s="329"/>
      <c r="H86" s="324" t="s">
        <v>1582</v>
      </c>
      <c r="I86" s="270"/>
      <c r="J86" s="330"/>
      <c r="K86" s="118"/>
      <c r="L86" s="263"/>
      <c r="M86" s="256"/>
      <c r="N86" s="1549"/>
      <c r="O86" s="1549"/>
    </row>
    <row r="87" spans="1:15" s="1560" customFormat="1" ht="18.75" hidden="1" customHeight="1">
      <c r="A87" s="1708" t="s">
        <v>237</v>
      </c>
      <c r="B87" s="293"/>
      <c r="C87" s="2136"/>
      <c r="D87" s="1919"/>
      <c r="E87" s="1975" t="str">
        <f>INDEX(PT_DIFFERENTIATION_VTAR,MATCH(A87,PT_DIFFERENTIATION_VTAR_ID,0))</f>
        <v>Тариф на транспортировку горячей воды</v>
      </c>
      <c r="F87" s="1975" t="str">
        <f>INDEX(PT_DIFFERENTIATION_VDET,MATCH(A87,PT_DIFFERENTIATION_VTAR_ID,0))</f>
        <v/>
      </c>
      <c r="G87" s="1694"/>
      <c r="H87" s="1663"/>
      <c r="I87" s="1701"/>
      <c r="J87" s="1706"/>
      <c r="K87" s="1693" t="s">
        <v>288</v>
      </c>
      <c r="L87" s="263"/>
      <c r="M87" s="256"/>
      <c r="N87" s="1549"/>
      <c r="O87" s="1549"/>
    </row>
    <row r="88" spans="1:15" s="1560" customFormat="1" ht="18.75" hidden="1" customHeight="1">
      <c r="A88" s="1708"/>
      <c r="B88" s="293" t="s">
        <v>1686</v>
      </c>
      <c r="C88" s="2136"/>
      <c r="D88" s="1919"/>
      <c r="E88" s="1975"/>
      <c r="F88" s="1975"/>
      <c r="G88" s="329"/>
      <c r="H88" s="324" t="s">
        <v>1582</v>
      </c>
      <c r="I88" s="270"/>
      <c r="J88" s="330"/>
      <c r="K88" s="118"/>
      <c r="L88" s="263"/>
      <c r="M88" s="256"/>
      <c r="N88" s="1549"/>
      <c r="O88" s="1549"/>
    </row>
    <row r="89" spans="1:15" s="1560" customFormat="1" ht="18.75" hidden="1" customHeight="1">
      <c r="A89" s="1708" t="s">
        <v>242</v>
      </c>
      <c r="B89" s="293"/>
      <c r="C89" s="2136"/>
      <c r="D89" s="1919"/>
      <c r="E89" s="1975" t="str">
        <f>INDEX(PT_DIFFERENTIATION_VTAR,MATCH(A89,PT_DIFFERENTIATION_VTAR_ID,0))</f>
        <v>Тариф на подключение (технологическое присоединение) к централизованной системе горячего водоснабжения</v>
      </c>
      <c r="F89" s="1975" t="str">
        <f>INDEX(PT_DIFFERENTIATION_VDET,MATCH(A89,PT_DIFFERENTIATION_VTAR_ID,0))</f>
        <v/>
      </c>
      <c r="G89" s="1694"/>
      <c r="H89" s="1663"/>
      <c r="I89" s="1701"/>
      <c r="J89" s="1706"/>
      <c r="K89" s="1693" t="s">
        <v>288</v>
      </c>
      <c r="L89" s="263"/>
      <c r="M89" s="256"/>
      <c r="N89" s="1549"/>
      <c r="O89" s="1549"/>
    </row>
    <row r="90" spans="1:15" s="1560" customFormat="1" ht="18.75" hidden="1" customHeight="1">
      <c r="A90" s="1708"/>
      <c r="B90" s="293" t="s">
        <v>1686</v>
      </c>
      <c r="C90" s="2136"/>
      <c r="D90" s="1919"/>
      <c r="E90" s="1975"/>
      <c r="F90" s="1975"/>
      <c r="G90" s="329"/>
      <c r="H90" s="324" t="s">
        <v>1582</v>
      </c>
      <c r="I90" s="270"/>
      <c r="J90" s="330"/>
      <c r="K90" s="118"/>
      <c r="L90" s="263"/>
      <c r="M90" s="256"/>
      <c r="N90" s="1549"/>
      <c r="O90" s="1549"/>
    </row>
    <row r="91" spans="1:15" s="1560" customFormat="1" ht="18.75" hidden="1" customHeight="1">
      <c r="A91" s="1708" t="s">
        <v>247</v>
      </c>
      <c r="B91" s="293"/>
      <c r="C91" s="2136"/>
      <c r="D91" s="1919"/>
      <c r="E91" s="1975" t="str">
        <f>INDEX(PT_DIFFERENTIATION_VTAR,MATCH(A91,PT_DIFFERENTIATION_VTAR_ID,0))</f>
        <v>Тариф на водоотведение</v>
      </c>
      <c r="F91" s="1975" t="str">
        <f>INDEX(PT_DIFFERENTIATION_VDET,MATCH(A91,PT_DIFFERENTIATION_VTAR_ID,0))</f>
        <v/>
      </c>
      <c r="G91" s="1694"/>
      <c r="H91" s="1663"/>
      <c r="I91" s="1701"/>
      <c r="J91" s="1706"/>
      <c r="K91" s="1693" t="s">
        <v>288</v>
      </c>
      <c r="L91" s="263"/>
      <c r="M91" s="256"/>
      <c r="N91" s="1549"/>
      <c r="O91" s="1549"/>
    </row>
    <row r="92" spans="1:15" s="1560" customFormat="1" ht="18.75" hidden="1" customHeight="1">
      <c r="A92" s="1708"/>
      <c r="B92" s="293" t="s">
        <v>1686</v>
      </c>
      <c r="C92" s="2136"/>
      <c r="D92" s="1919"/>
      <c r="E92" s="1975"/>
      <c r="F92" s="1975"/>
      <c r="G92" s="329"/>
      <c r="H92" s="324" t="s">
        <v>1582</v>
      </c>
      <c r="I92" s="270"/>
      <c r="J92" s="330"/>
      <c r="K92" s="118"/>
      <c r="L92" s="263"/>
      <c r="M92" s="256"/>
      <c r="N92" s="1549"/>
      <c r="O92" s="1549"/>
    </row>
    <row r="93" spans="1:15" s="1560" customFormat="1" ht="18.75" hidden="1" customHeight="1">
      <c r="A93" s="1708" t="s">
        <v>252</v>
      </c>
      <c r="B93" s="293"/>
      <c r="C93" s="2136"/>
      <c r="D93" s="1919"/>
      <c r="E93" s="1975" t="str">
        <f>INDEX(PT_DIFFERENTIATION_VTAR,MATCH(A93,PT_DIFFERENTIATION_VTAR_ID,0))</f>
        <v>Тариф на транспортировку сточных вод</v>
      </c>
      <c r="F93" s="1975" t="str">
        <f>INDEX(PT_DIFFERENTIATION_VDET,MATCH(A93,PT_DIFFERENTIATION_VTAR_ID,0))</f>
        <v/>
      </c>
      <c r="G93" s="1694"/>
      <c r="H93" s="1663"/>
      <c r="I93" s="1701"/>
      <c r="J93" s="1706"/>
      <c r="K93" s="1693" t="s">
        <v>288</v>
      </c>
      <c r="L93" s="263"/>
      <c r="M93" s="256"/>
      <c r="N93" s="1549"/>
      <c r="O93" s="1549"/>
    </row>
    <row r="94" spans="1:15" s="1560" customFormat="1" ht="18.75" hidden="1" customHeight="1">
      <c r="A94" s="1708"/>
      <c r="B94" s="293" t="s">
        <v>1686</v>
      </c>
      <c r="C94" s="2136"/>
      <c r="D94" s="1919"/>
      <c r="E94" s="1975"/>
      <c r="F94" s="1975"/>
      <c r="G94" s="329"/>
      <c r="H94" s="324" t="s">
        <v>1582</v>
      </c>
      <c r="I94" s="270"/>
      <c r="J94" s="330"/>
      <c r="K94" s="118"/>
      <c r="L94" s="263"/>
      <c r="M94" s="256"/>
      <c r="N94" s="1549"/>
      <c r="O94" s="1549"/>
    </row>
    <row r="95" spans="1:15" s="1560" customFormat="1" ht="18.75" hidden="1" customHeight="1">
      <c r="A95" s="1708" t="s">
        <v>257</v>
      </c>
      <c r="B95" s="293"/>
      <c r="C95" s="2136"/>
      <c r="D95" s="1919"/>
      <c r="E95" s="1975" t="str">
        <f>INDEX(PT_DIFFERENTIATION_VTAR,MATCH(A95,PT_DIFFERENTIATION_VTAR_ID,0))</f>
        <v>Тариф на подключение (технологическое присоединение) к централизованной системе водоотведения</v>
      </c>
      <c r="F95" s="1975" t="str">
        <f>INDEX(PT_DIFFERENTIATION_VDET,MATCH(A95,PT_DIFFERENTIATION_VTAR_ID,0))</f>
        <v/>
      </c>
      <c r="G95" s="1694"/>
      <c r="H95" s="1663"/>
      <c r="I95" s="1701"/>
      <c r="J95" s="1706"/>
      <c r="K95" s="1693" t="s">
        <v>288</v>
      </c>
      <c r="L95" s="263"/>
      <c r="M95" s="256"/>
      <c r="N95" s="1549"/>
      <c r="O95" s="1549"/>
    </row>
    <row r="96" spans="1:15" s="1560" customFormat="1" ht="18.75" hidden="1" customHeight="1">
      <c r="A96" s="1708"/>
      <c r="B96" s="293" t="s">
        <v>1686</v>
      </c>
      <c r="C96" s="2136"/>
      <c r="D96" s="1919"/>
      <c r="E96" s="1975"/>
      <c r="F96" s="1975"/>
      <c r="G96" s="329"/>
      <c r="H96" s="324" t="s">
        <v>1582</v>
      </c>
      <c r="I96" s="270"/>
      <c r="J96" s="330"/>
      <c r="K96" s="118"/>
      <c r="L96" s="263"/>
      <c r="M96" s="256"/>
      <c r="N96" s="1549"/>
      <c r="O96" s="1549"/>
    </row>
    <row r="97" spans="1:15" ht="18.75" customHeight="1">
      <c r="A97" s="1708"/>
      <c r="C97" s="300"/>
      <c r="D97" s="67" t="s">
        <v>90</v>
      </c>
      <c r="E97" s="2126" t="str">
        <f>"Годовой объем "&amp;IF(TEMPLATE_SPHERE="HEAT","полезного отпуска тепловой энергии (теплоносителя)","потребителям воды")</f>
        <v>Годовой объем потребителям воды</v>
      </c>
      <c r="F97" s="2126"/>
      <c r="G97" s="2126"/>
      <c r="H97" s="2126"/>
      <c r="I97" s="2126"/>
      <c r="J97" s="2126"/>
      <c r="K97" s="2126"/>
      <c r="L97" s="211"/>
      <c r="M97" s="256"/>
    </row>
    <row r="98" spans="1:15" s="1560" customFormat="1" ht="56.25" hidden="1" customHeight="1">
      <c r="A98" s="1708" t="s">
        <v>151</v>
      </c>
      <c r="B98" s="293"/>
      <c r="C98" s="2136"/>
      <c r="D98" s="1919"/>
      <c r="E98" s="1975" t="str">
        <f>INDEX(PT_DIFFERENTIATION_VTAR,MATCH(A98,PT_DIFFERENTIATION_VTAR_ID,0))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98" s="1975" t="str">
        <f>INDEX(PT_DIFFERENTIATION_VDET,MATCH(A98,PT_DIFFERENTIATION_VTAR_ID,0))</f>
        <v/>
      </c>
      <c r="G98" s="1694"/>
      <c r="H98" s="1663"/>
      <c r="I98" s="1701"/>
      <c r="J98" s="1706"/>
      <c r="K98" s="1693" t="s">
        <v>288</v>
      </c>
      <c r="L98" s="18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M98" s="256"/>
      <c r="N98" s="1549"/>
      <c r="O98" s="1549"/>
    </row>
    <row r="99" spans="1:15" s="1560" customFormat="1" ht="18.75" hidden="1" customHeight="1">
      <c r="A99" s="1708"/>
      <c r="B99" s="293" t="s">
        <v>1686</v>
      </c>
      <c r="C99" s="2136"/>
      <c r="D99" s="1919"/>
      <c r="E99" s="1975"/>
      <c r="F99" s="1975"/>
      <c r="G99" s="329"/>
      <c r="H99" s="324" t="s">
        <v>1582</v>
      </c>
      <c r="I99" s="270"/>
      <c r="J99" s="330"/>
      <c r="K99" s="118"/>
      <c r="L99" s="1885"/>
      <c r="M99" s="256"/>
      <c r="N99" s="1549"/>
      <c r="O99" s="1549"/>
    </row>
    <row r="100" spans="1:15" s="1560" customFormat="1" ht="26.25" hidden="1" customHeight="1">
      <c r="A100" s="1708" t="s">
        <v>157</v>
      </c>
      <c r="B100" s="293"/>
      <c r="C100" s="2136"/>
      <c r="D100" s="1919"/>
      <c r="E100" s="1975" t="str">
        <f>INDEX(PT_DIFFERENTIATION_VTAR,MATCH(A100,PT_DIFFERENTIATION_VTAR_ID,0))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00" s="1975" t="str">
        <f>INDEX(PT_DIFFERENTIATION_VDET,MATCH(A100,PT_DIFFERENTIATION_VTAR_ID,0))</f>
        <v/>
      </c>
      <c r="G100" s="1694"/>
      <c r="H100" s="1663"/>
      <c r="I100" s="1701"/>
      <c r="J100" s="1706"/>
      <c r="K100" s="1693" t="s">
        <v>288</v>
      </c>
      <c r="L100" s="1886"/>
      <c r="M100" s="256"/>
      <c r="N100" s="1549"/>
      <c r="O100" s="1549"/>
    </row>
    <row r="101" spans="1:15" s="1560" customFormat="1" ht="18.75" hidden="1" customHeight="1">
      <c r="A101" s="1708"/>
      <c r="B101" s="293" t="s">
        <v>1686</v>
      </c>
      <c r="C101" s="2136"/>
      <c r="D101" s="1919"/>
      <c r="E101" s="1975"/>
      <c r="F101" s="1975"/>
      <c r="G101" s="329"/>
      <c r="H101" s="324" t="s">
        <v>1582</v>
      </c>
      <c r="I101" s="270"/>
      <c r="J101" s="330"/>
      <c r="K101" s="118"/>
      <c r="L101" s="263"/>
      <c r="M101" s="256"/>
      <c r="N101" s="1549"/>
      <c r="O101" s="1549"/>
    </row>
    <row r="102" spans="1:15" s="1560" customFormat="1" ht="18.75" hidden="1" customHeight="1">
      <c r="A102" s="1708" t="s">
        <v>163</v>
      </c>
      <c r="B102" s="293"/>
      <c r="C102" s="2136"/>
      <c r="D102" s="1919"/>
      <c r="E102" s="1975" t="str">
        <f>INDEX(PT_DIFFERENTIATION_VTAR,MATCH(A102,PT_DIFFERENTIATION_VTAR_ID,0))</f>
        <v>Тарифы на теплоноситель, поставляемый теплоснабжающими организациями потребителям, другим теплоснабжающим организациям</v>
      </c>
      <c r="F102" s="1975" t="str">
        <f>INDEX(PT_DIFFERENTIATION_VDET,MATCH(A102,PT_DIFFERENTIATION_VTAR_ID,0))</f>
        <v/>
      </c>
      <c r="G102" s="1694"/>
      <c r="H102" s="1663"/>
      <c r="I102" s="1701"/>
      <c r="J102" s="1706"/>
      <c r="K102" s="1693" t="s">
        <v>288</v>
      </c>
      <c r="L102" s="263"/>
      <c r="M102" s="256"/>
      <c r="N102" s="1549"/>
      <c r="O102" s="1549"/>
    </row>
    <row r="103" spans="1:15" s="1560" customFormat="1" ht="18.75" hidden="1" customHeight="1">
      <c r="A103" s="1708"/>
      <c r="B103" s="293" t="s">
        <v>1686</v>
      </c>
      <c r="C103" s="2136"/>
      <c r="D103" s="1919"/>
      <c r="E103" s="1975"/>
      <c r="F103" s="1975"/>
      <c r="G103" s="329"/>
      <c r="H103" s="324" t="s">
        <v>1582</v>
      </c>
      <c r="I103" s="270"/>
      <c r="J103" s="330"/>
      <c r="K103" s="118"/>
      <c r="L103" s="263"/>
      <c r="M103" s="256"/>
      <c r="N103" s="1549"/>
      <c r="O103" s="1549"/>
    </row>
    <row r="104" spans="1:15" s="1560" customFormat="1" ht="41.25" hidden="1" customHeight="1">
      <c r="A104" s="1708" t="s">
        <v>169</v>
      </c>
      <c r="B104" s="293"/>
      <c r="C104" s="2136"/>
      <c r="D104" s="1919"/>
      <c r="E104" s="1975"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04" s="1975" t="str">
        <f>INDEX(PT_DIFFERENTIATION_VDET,MATCH(A104,PT_DIFFERENTIATION_VTAR_ID,0))</f>
        <v/>
      </c>
      <c r="G104" s="1694"/>
      <c r="H104" s="1663"/>
      <c r="I104" s="1701"/>
      <c r="J104" s="1706"/>
      <c r="K104" s="1693" t="s">
        <v>288</v>
      </c>
      <c r="L104" s="263"/>
      <c r="M104" s="256"/>
      <c r="N104" s="1549"/>
      <c r="O104" s="1549"/>
    </row>
    <row r="105" spans="1:15" s="1560" customFormat="1" ht="18.75" hidden="1" customHeight="1">
      <c r="A105" s="1708"/>
      <c r="B105" s="293" t="s">
        <v>1686</v>
      </c>
      <c r="C105" s="2136"/>
      <c r="D105" s="1919"/>
      <c r="E105" s="1975"/>
      <c r="F105" s="1975"/>
      <c r="G105" s="329"/>
      <c r="H105" s="324" t="s">
        <v>1582</v>
      </c>
      <c r="I105" s="270"/>
      <c r="J105" s="330"/>
      <c r="K105" s="118"/>
      <c r="L105" s="263"/>
      <c r="M105" s="256"/>
      <c r="N105" s="1549"/>
      <c r="O105" s="1549"/>
    </row>
    <row r="106" spans="1:15" s="1560" customFormat="1" ht="18.75" hidden="1" customHeight="1">
      <c r="A106" s="1708" t="s">
        <v>175</v>
      </c>
      <c r="B106" s="293"/>
      <c r="C106" s="2136"/>
      <c r="D106" s="1919"/>
      <c r="E106" s="1975" t="str">
        <f>INDEX(PT_DIFFERENTIATION_VTAR,MATCH(A106,PT_DIFFERENTIATION_VTAR_ID,0))</f>
        <v>Тарифы на услуги по передаче тепловой энергии</v>
      </c>
      <c r="F106" s="1975" t="str">
        <f>INDEX(PT_DIFFERENTIATION_VDET,MATCH(A106,PT_DIFFERENTIATION_VTAR_ID,0))</f>
        <v/>
      </c>
      <c r="G106" s="1694"/>
      <c r="H106" s="1663"/>
      <c r="I106" s="1701"/>
      <c r="J106" s="1706"/>
      <c r="K106" s="1693" t="s">
        <v>288</v>
      </c>
      <c r="L106" s="263"/>
      <c r="M106" s="256"/>
      <c r="N106" s="1549"/>
      <c r="O106" s="1549"/>
    </row>
    <row r="107" spans="1:15" s="1560" customFormat="1" ht="18.75" hidden="1" customHeight="1">
      <c r="A107" s="1708"/>
      <c r="B107" s="293" t="s">
        <v>1686</v>
      </c>
      <c r="C107" s="2136"/>
      <c r="D107" s="1919"/>
      <c r="E107" s="1975"/>
      <c r="F107" s="1975"/>
      <c r="G107" s="329"/>
      <c r="H107" s="324" t="s">
        <v>1582</v>
      </c>
      <c r="I107" s="270"/>
      <c r="J107" s="330"/>
      <c r="K107" s="118"/>
      <c r="L107" s="263"/>
      <c r="M107" s="256"/>
      <c r="N107" s="1549"/>
      <c r="O107" s="1549"/>
    </row>
    <row r="108" spans="1:15" s="1560" customFormat="1" ht="18.75" hidden="1" customHeight="1">
      <c r="A108" s="1708" t="s">
        <v>181</v>
      </c>
      <c r="B108" s="293"/>
      <c r="C108" s="2136"/>
      <c r="D108" s="1919"/>
      <c r="E108" s="1975" t="str">
        <f>INDEX(PT_DIFFERENTIATION_VTAR,MATCH(A108,PT_DIFFERENTIATION_VTAR_ID,0))</f>
        <v>Тарифы на услуги по передаче теплоносителя</v>
      </c>
      <c r="F108" s="1975" t="str">
        <f>INDEX(PT_DIFFERENTIATION_VDET,MATCH(A108,PT_DIFFERENTIATION_VTAR_ID,0))</f>
        <v/>
      </c>
      <c r="G108" s="1694"/>
      <c r="H108" s="1663"/>
      <c r="I108" s="1701"/>
      <c r="J108" s="1706"/>
      <c r="K108" s="1693" t="s">
        <v>288</v>
      </c>
      <c r="L108" s="263"/>
      <c r="M108" s="256"/>
      <c r="N108" s="1549"/>
      <c r="O108" s="1549"/>
    </row>
    <row r="109" spans="1:15" s="1560" customFormat="1" ht="18.75" hidden="1" customHeight="1">
      <c r="A109" s="1708"/>
      <c r="B109" s="293" t="s">
        <v>1686</v>
      </c>
      <c r="C109" s="2136"/>
      <c r="D109" s="1919"/>
      <c r="E109" s="1975"/>
      <c r="F109" s="1975"/>
      <c r="G109" s="329"/>
      <c r="H109" s="324" t="s">
        <v>1582</v>
      </c>
      <c r="I109" s="270"/>
      <c r="J109" s="330"/>
      <c r="K109" s="118"/>
      <c r="L109" s="263"/>
      <c r="M109" s="256"/>
      <c r="N109" s="1549"/>
      <c r="O109" s="1549"/>
    </row>
    <row r="110" spans="1:15" s="1560" customFormat="1" ht="18.75" hidden="1" customHeight="1">
      <c r="A110" s="1708" t="s">
        <v>187</v>
      </c>
      <c r="B110" s="293"/>
      <c r="C110" s="2136"/>
      <c r="D110" s="1919"/>
      <c r="E110" s="1975" t="str">
        <f>INDEX(PT_DIFFERENTIATION_VTAR,MATCH(A110,PT_DIFFERENTIATION_VTAR_ID,0))</f>
        <v>Плата за услуги по поддержанию резервной тепловой мощности при отсутствии потребления тепловой энергии</v>
      </c>
      <c r="F110" s="1975" t="str">
        <f>INDEX(PT_DIFFERENTIATION_VDET,MATCH(A110,PT_DIFFERENTIATION_VTAR_ID,0))</f>
        <v/>
      </c>
      <c r="G110" s="1694"/>
      <c r="H110" s="1663"/>
      <c r="I110" s="1701"/>
      <c r="J110" s="1706"/>
      <c r="K110" s="1693" t="s">
        <v>288</v>
      </c>
      <c r="L110" s="263"/>
      <c r="M110" s="256"/>
      <c r="N110" s="1549"/>
      <c r="O110" s="1549"/>
    </row>
    <row r="111" spans="1:15" s="1560" customFormat="1" ht="18.75" hidden="1" customHeight="1">
      <c r="A111" s="1708"/>
      <c r="B111" s="293" t="s">
        <v>1686</v>
      </c>
      <c r="C111" s="2136"/>
      <c r="D111" s="1919"/>
      <c r="E111" s="1975"/>
      <c r="F111" s="1975"/>
      <c r="G111" s="329"/>
      <c r="H111" s="324" t="s">
        <v>1582</v>
      </c>
      <c r="I111" s="270"/>
      <c r="J111" s="330"/>
      <c r="K111" s="118"/>
      <c r="L111" s="263"/>
      <c r="M111" s="256"/>
      <c r="N111" s="1549"/>
      <c r="O111" s="1549"/>
    </row>
    <row r="112" spans="1:15" s="1560" customFormat="1" ht="18.75" hidden="1" customHeight="1">
      <c r="A112" s="1708" t="s">
        <v>193</v>
      </c>
      <c r="B112" s="293"/>
      <c r="C112" s="2136"/>
      <c r="D112" s="1919"/>
      <c r="E112" s="1975" t="str">
        <f>INDEX(PT_DIFFERENTIATION_VTAR,MATCH(A112,PT_DIFFERENTIATION_VTAR_ID,0))</f>
        <v>Плата за подключение (технологическое присоединение) к системе теплоснабжения</v>
      </c>
      <c r="F112" s="1975" t="str">
        <f>INDEX(PT_DIFFERENTIATION_VDET,MATCH(A112,PT_DIFFERENTIATION_VTAR_ID,0))</f>
        <v/>
      </c>
      <c r="G112" s="1694"/>
      <c r="H112" s="1663"/>
      <c r="I112" s="1701"/>
      <c r="J112" s="1706"/>
      <c r="K112" s="1693" t="s">
        <v>288</v>
      </c>
      <c r="L112" s="263"/>
      <c r="M112" s="256"/>
      <c r="N112" s="1549"/>
      <c r="O112" s="1549"/>
    </row>
    <row r="113" spans="1:15" s="1560" customFormat="1" ht="18.75" hidden="1" customHeight="1">
      <c r="A113" s="1708"/>
      <c r="B113" s="293" t="s">
        <v>1686</v>
      </c>
      <c r="C113" s="2136"/>
      <c r="D113" s="1919"/>
      <c r="E113" s="1975"/>
      <c r="F113" s="1975"/>
      <c r="G113" s="329"/>
      <c r="H113" s="324" t="s">
        <v>1582</v>
      </c>
      <c r="I113" s="270"/>
      <c r="J113" s="330"/>
      <c r="K113" s="118"/>
      <c r="L113" s="263"/>
      <c r="M113" s="256"/>
      <c r="N113" s="1549"/>
      <c r="O113" s="1549"/>
    </row>
    <row r="114" spans="1:15" s="1560" customFormat="1" ht="18.75" hidden="1" customHeight="1">
      <c r="A114" s="1708" t="s">
        <v>207</v>
      </c>
      <c r="B114" s="293"/>
      <c r="C114" s="2136"/>
      <c r="D114" s="1919"/>
      <c r="E114" s="1975" t="str">
        <f>INDEX(PT_DIFFERENTIATION_VTAR,MATCH(A114,PT_DIFFERENTIATION_VTAR_ID,0))</f>
        <v>Тариф на питьевую воду (питьевое водоснабжение)</v>
      </c>
      <c r="F114" s="1975" t="str">
        <f>INDEX(PT_DIFFERENTIATION_VDET,MATCH(A114,PT_DIFFERENTIATION_VTAR_ID,0))</f>
        <v/>
      </c>
      <c r="G114" s="1694"/>
      <c r="H114" s="1663"/>
      <c r="I114" s="1701"/>
      <c r="J114" s="1706"/>
      <c r="K114" s="1693" t="s">
        <v>288</v>
      </c>
      <c r="L114" s="263"/>
      <c r="M114" s="256"/>
      <c r="N114" s="1549"/>
      <c r="O114" s="1549"/>
    </row>
    <row r="115" spans="1:15" s="1560" customFormat="1" ht="18.75" hidden="1" customHeight="1">
      <c r="A115" s="1708"/>
      <c r="B115" s="293" t="s">
        <v>1686</v>
      </c>
      <c r="C115" s="2136"/>
      <c r="D115" s="1919"/>
      <c r="E115" s="1975"/>
      <c r="F115" s="1975"/>
      <c r="G115" s="329"/>
      <c r="H115" s="324" t="s">
        <v>1582</v>
      </c>
      <c r="I115" s="270"/>
      <c r="J115" s="330"/>
      <c r="K115" s="118"/>
      <c r="L115" s="263"/>
      <c r="M115" s="256"/>
      <c r="N115" s="1549"/>
      <c r="O115" s="1549"/>
    </row>
    <row r="116" spans="1:15" s="1560" customFormat="1" ht="18.75" hidden="1" customHeight="1">
      <c r="A116" s="1708" t="s">
        <v>212</v>
      </c>
      <c r="B116" s="293"/>
      <c r="C116" s="2136"/>
      <c r="D116" s="1919"/>
      <c r="E116" s="1975" t="str">
        <f>INDEX(PT_DIFFERENTIATION_VTAR,MATCH(A116,PT_DIFFERENTIATION_VTAR_ID,0))</f>
        <v>Тариф на техническую воду</v>
      </c>
      <c r="F116" s="1975" t="str">
        <f>INDEX(PT_DIFFERENTIATION_VDET,MATCH(A116,PT_DIFFERENTIATION_VTAR_ID,0))</f>
        <v/>
      </c>
      <c r="G116" s="1694"/>
      <c r="H116" s="1663"/>
      <c r="I116" s="1701"/>
      <c r="J116" s="1706"/>
      <c r="K116" s="1693" t="s">
        <v>288</v>
      </c>
      <c r="L116" s="263"/>
      <c r="M116" s="256"/>
      <c r="N116" s="1549"/>
      <c r="O116" s="1549"/>
    </row>
    <row r="117" spans="1:15" s="1560" customFormat="1" ht="18.75" hidden="1" customHeight="1">
      <c r="A117" s="1708"/>
      <c r="B117" s="293" t="s">
        <v>1686</v>
      </c>
      <c r="C117" s="2136"/>
      <c r="D117" s="1919"/>
      <c r="E117" s="1975"/>
      <c r="F117" s="1975"/>
      <c r="G117" s="329"/>
      <c r="H117" s="324" t="s">
        <v>1582</v>
      </c>
      <c r="I117" s="270"/>
      <c r="J117" s="330"/>
      <c r="K117" s="118"/>
      <c r="L117" s="263"/>
      <c r="M117" s="256"/>
      <c r="N117" s="1549"/>
      <c r="O117" s="1549"/>
    </row>
    <row r="118" spans="1:15" s="1560" customFormat="1" ht="18.75" hidden="1" customHeight="1">
      <c r="A118" s="1708" t="s">
        <v>217</v>
      </c>
      <c r="B118" s="293"/>
      <c r="C118" s="2136"/>
      <c r="D118" s="1919"/>
      <c r="E118" s="1975" t="str">
        <f>INDEX(PT_DIFFERENTIATION_VTAR,MATCH(A118,PT_DIFFERENTIATION_VTAR_ID,0))</f>
        <v>Тариф на транспортировку воды</v>
      </c>
      <c r="F118" s="1975" t="str">
        <f>INDEX(PT_DIFFERENTIATION_VDET,MATCH(A118,PT_DIFFERENTIATION_VTAR_ID,0))</f>
        <v/>
      </c>
      <c r="G118" s="1694"/>
      <c r="H118" s="1663"/>
      <c r="I118" s="1701"/>
      <c r="J118" s="1706"/>
      <c r="K118" s="1693" t="s">
        <v>288</v>
      </c>
      <c r="L118" s="263"/>
      <c r="M118" s="256"/>
      <c r="N118" s="1549"/>
      <c r="O118" s="1549"/>
    </row>
    <row r="119" spans="1:15" s="1560" customFormat="1" ht="18.75" hidden="1" customHeight="1">
      <c r="A119" s="1708"/>
      <c r="B119" s="293" t="s">
        <v>1686</v>
      </c>
      <c r="C119" s="2136"/>
      <c r="D119" s="1919"/>
      <c r="E119" s="1975"/>
      <c r="F119" s="1975"/>
      <c r="G119" s="329"/>
      <c r="H119" s="324" t="s">
        <v>1582</v>
      </c>
      <c r="I119" s="270"/>
      <c r="J119" s="330"/>
      <c r="K119" s="118"/>
      <c r="L119" s="263"/>
      <c r="M119" s="256"/>
      <c r="N119" s="1549"/>
      <c r="O119" s="1549"/>
    </row>
    <row r="120" spans="1:15" s="1560" customFormat="1" ht="18.75" hidden="1" customHeight="1">
      <c r="A120" s="1708" t="s">
        <v>222</v>
      </c>
      <c r="B120" s="293"/>
      <c r="C120" s="2136"/>
      <c r="D120" s="1919"/>
      <c r="E120" s="1975" t="str">
        <f>INDEX(PT_DIFFERENTIATION_VTAR,MATCH(A120,PT_DIFFERENTIATION_VTAR_ID,0))</f>
        <v>Тариф на подвоз воды</v>
      </c>
      <c r="F120" s="1975" t="str">
        <f>INDEX(PT_DIFFERENTIATION_VDET,MATCH(A120,PT_DIFFERENTIATION_VTAR_ID,0))</f>
        <v/>
      </c>
      <c r="G120" s="1694"/>
      <c r="H120" s="1663"/>
      <c r="I120" s="1701"/>
      <c r="J120" s="1706"/>
      <c r="K120" s="1693" t="s">
        <v>288</v>
      </c>
      <c r="L120" s="263"/>
      <c r="M120" s="256"/>
      <c r="N120" s="1549"/>
      <c r="O120" s="1549"/>
    </row>
    <row r="121" spans="1:15" s="1560" customFormat="1" ht="18.75" hidden="1" customHeight="1">
      <c r="A121" s="1708"/>
      <c r="B121" s="293" t="s">
        <v>1686</v>
      </c>
      <c r="C121" s="2136"/>
      <c r="D121" s="1919"/>
      <c r="E121" s="1975"/>
      <c r="F121" s="1975"/>
      <c r="G121" s="329"/>
      <c r="H121" s="324" t="s">
        <v>1582</v>
      </c>
      <c r="I121" s="270"/>
      <c r="J121" s="330"/>
      <c r="K121" s="118"/>
      <c r="L121" s="263"/>
      <c r="M121" s="256"/>
      <c r="N121" s="1549"/>
      <c r="O121" s="1549"/>
    </row>
    <row r="122" spans="1:15" s="1560" customFormat="1" ht="18.75" hidden="1" customHeight="1">
      <c r="A122" s="1708" t="s">
        <v>227</v>
      </c>
      <c r="B122" s="293"/>
      <c r="C122" s="2136"/>
      <c r="D122" s="1919"/>
      <c r="E122" s="1975" t="str">
        <f>INDEX(PT_DIFFERENTIATION_VTAR,MATCH(A122,PT_DIFFERENTIATION_VTAR_ID,0))</f>
        <v>Тариф на подключение (технологическое присоединение) к централизованной системе холодного водоснабжения</v>
      </c>
      <c r="F122" s="1975" t="str">
        <f>INDEX(PT_DIFFERENTIATION_VDET,MATCH(A122,PT_DIFFERENTIATION_VTAR_ID,0))</f>
        <v/>
      </c>
      <c r="G122" s="1694"/>
      <c r="H122" s="1663"/>
      <c r="I122" s="1701"/>
      <c r="J122" s="1706"/>
      <c r="K122" s="1693" t="s">
        <v>288</v>
      </c>
      <c r="L122" s="263"/>
      <c r="M122" s="256"/>
      <c r="N122" s="1549"/>
      <c r="O122" s="1549"/>
    </row>
    <row r="123" spans="1:15" s="1560" customFormat="1" ht="18.75" hidden="1" customHeight="1">
      <c r="A123" s="1708"/>
      <c r="B123" s="293" t="s">
        <v>1686</v>
      </c>
      <c r="C123" s="2136"/>
      <c r="D123" s="1919"/>
      <c r="E123" s="1975"/>
      <c r="F123" s="1975"/>
      <c r="G123" s="329"/>
      <c r="H123" s="324" t="s">
        <v>1582</v>
      </c>
      <c r="I123" s="270"/>
      <c r="J123" s="330"/>
      <c r="K123" s="118"/>
      <c r="L123" s="263"/>
      <c r="M123" s="256"/>
      <c r="N123" s="1549"/>
      <c r="O123" s="1549"/>
    </row>
    <row r="124" spans="1:15" s="1560" customFormat="1" ht="18.75" hidden="1" customHeight="1">
      <c r="A124" s="1708" t="s">
        <v>232</v>
      </c>
      <c r="B124" s="293"/>
      <c r="C124" s="2136"/>
      <c r="D124" s="1919"/>
      <c r="E124" s="1975" t="str">
        <f>INDEX(PT_DIFFERENTIATION_VTAR,MATCH(A124,PT_DIFFERENTIATION_VTAR_ID,0))</f>
        <v>Тариф на горячую воду (горячее водоснабжение)</v>
      </c>
      <c r="F124" s="1975" t="str">
        <f>INDEX(PT_DIFFERENTIATION_VDET,MATCH(A124,PT_DIFFERENTIATION_VTAR_ID,0))</f>
        <v/>
      </c>
      <c r="G124" s="1694"/>
      <c r="H124" s="1663"/>
      <c r="I124" s="1701"/>
      <c r="J124" s="1706"/>
      <c r="K124" s="1693" t="s">
        <v>288</v>
      </c>
      <c r="L124" s="263"/>
      <c r="M124" s="256"/>
      <c r="N124" s="1549"/>
      <c r="O124" s="1549"/>
    </row>
    <row r="125" spans="1:15" s="1560" customFormat="1" ht="18.75" hidden="1" customHeight="1">
      <c r="A125" s="1708"/>
      <c r="B125" s="293" t="s">
        <v>1686</v>
      </c>
      <c r="C125" s="2136"/>
      <c r="D125" s="1919"/>
      <c r="E125" s="1975"/>
      <c r="F125" s="1975"/>
      <c r="G125" s="329"/>
      <c r="H125" s="324" t="s">
        <v>1582</v>
      </c>
      <c r="I125" s="270"/>
      <c r="J125" s="330"/>
      <c r="K125" s="118"/>
      <c r="L125" s="263"/>
      <c r="M125" s="256"/>
      <c r="N125" s="1549"/>
      <c r="O125" s="1549"/>
    </row>
    <row r="126" spans="1:15" s="1560" customFormat="1" ht="18.75" hidden="1" customHeight="1">
      <c r="A126" s="1708" t="s">
        <v>237</v>
      </c>
      <c r="B126" s="293"/>
      <c r="C126" s="2136"/>
      <c r="D126" s="1919"/>
      <c r="E126" s="1975" t="str">
        <f>INDEX(PT_DIFFERENTIATION_VTAR,MATCH(A126,PT_DIFFERENTIATION_VTAR_ID,0))</f>
        <v>Тариф на транспортировку горячей воды</v>
      </c>
      <c r="F126" s="1975" t="str">
        <f>INDEX(PT_DIFFERENTIATION_VDET,MATCH(A126,PT_DIFFERENTIATION_VTAR_ID,0))</f>
        <v/>
      </c>
      <c r="G126" s="1694"/>
      <c r="H126" s="1663"/>
      <c r="I126" s="1701"/>
      <c r="J126" s="1706"/>
      <c r="K126" s="1693" t="s">
        <v>288</v>
      </c>
      <c r="L126" s="263"/>
      <c r="M126" s="256"/>
      <c r="N126" s="1549"/>
      <c r="O126" s="1549"/>
    </row>
    <row r="127" spans="1:15" s="1560" customFormat="1" ht="18.75" hidden="1" customHeight="1">
      <c r="A127" s="1708"/>
      <c r="B127" s="293" t="s">
        <v>1686</v>
      </c>
      <c r="C127" s="2136"/>
      <c r="D127" s="1919"/>
      <c r="E127" s="1975"/>
      <c r="F127" s="1975"/>
      <c r="G127" s="329"/>
      <c r="H127" s="324" t="s">
        <v>1582</v>
      </c>
      <c r="I127" s="270"/>
      <c r="J127" s="330"/>
      <c r="K127" s="118"/>
      <c r="L127" s="263"/>
      <c r="M127" s="256"/>
      <c r="N127" s="1549"/>
      <c r="O127" s="1549"/>
    </row>
    <row r="128" spans="1:15" s="1560" customFormat="1" ht="18.75" hidden="1" customHeight="1">
      <c r="A128" s="1708" t="s">
        <v>242</v>
      </c>
      <c r="B128" s="293"/>
      <c r="C128" s="2136"/>
      <c r="D128" s="1919"/>
      <c r="E128" s="1975" t="str">
        <f>INDEX(PT_DIFFERENTIATION_VTAR,MATCH(A128,PT_DIFFERENTIATION_VTAR_ID,0))</f>
        <v>Тариф на подключение (технологическое присоединение) к централизованной системе горячего водоснабжения</v>
      </c>
      <c r="F128" s="1975" t="str">
        <f>INDEX(PT_DIFFERENTIATION_VDET,MATCH(A128,PT_DIFFERENTIATION_VTAR_ID,0))</f>
        <v/>
      </c>
      <c r="G128" s="1694"/>
      <c r="H128" s="1663"/>
      <c r="I128" s="1701"/>
      <c r="J128" s="1706"/>
      <c r="K128" s="1693" t="s">
        <v>288</v>
      </c>
      <c r="L128" s="263"/>
      <c r="M128" s="256"/>
      <c r="N128" s="1549"/>
      <c r="O128" s="1549"/>
    </row>
    <row r="129" spans="1:15" s="1560" customFormat="1" ht="18.75" hidden="1" customHeight="1">
      <c r="A129" s="1708"/>
      <c r="B129" s="293" t="s">
        <v>1686</v>
      </c>
      <c r="C129" s="2136"/>
      <c r="D129" s="1919"/>
      <c r="E129" s="1975"/>
      <c r="F129" s="1975"/>
      <c r="G129" s="329"/>
      <c r="H129" s="324" t="s">
        <v>1582</v>
      </c>
      <c r="I129" s="270"/>
      <c r="J129" s="330"/>
      <c r="K129" s="118"/>
      <c r="L129" s="263"/>
      <c r="M129" s="256"/>
      <c r="N129" s="1549"/>
      <c r="O129" s="1549"/>
    </row>
    <row r="130" spans="1:15" s="1560" customFormat="1" ht="18.75" hidden="1" customHeight="1">
      <c r="A130" s="1708" t="s">
        <v>247</v>
      </c>
      <c r="B130" s="293"/>
      <c r="C130" s="2136"/>
      <c r="D130" s="1919"/>
      <c r="E130" s="1975" t="str">
        <f>INDEX(PT_DIFFERENTIATION_VTAR,MATCH(A130,PT_DIFFERENTIATION_VTAR_ID,0))</f>
        <v>Тариф на водоотведение</v>
      </c>
      <c r="F130" s="1975" t="str">
        <f>INDEX(PT_DIFFERENTIATION_VDET,MATCH(A130,PT_DIFFERENTIATION_VTAR_ID,0))</f>
        <v/>
      </c>
      <c r="G130" s="1694"/>
      <c r="H130" s="1663"/>
      <c r="I130" s="1701"/>
      <c r="J130" s="1706"/>
      <c r="K130" s="1693" t="s">
        <v>288</v>
      </c>
      <c r="L130" s="263"/>
      <c r="M130" s="256"/>
      <c r="N130" s="1549"/>
      <c r="O130" s="1549"/>
    </row>
    <row r="131" spans="1:15" s="1560" customFormat="1" ht="18.75" hidden="1" customHeight="1">
      <c r="A131" s="1708"/>
      <c r="B131" s="293" t="s">
        <v>1686</v>
      </c>
      <c r="C131" s="2136"/>
      <c r="D131" s="1919"/>
      <c r="E131" s="1975"/>
      <c r="F131" s="1975"/>
      <c r="G131" s="329"/>
      <c r="H131" s="324" t="s">
        <v>1582</v>
      </c>
      <c r="I131" s="270"/>
      <c r="J131" s="330"/>
      <c r="K131" s="118"/>
      <c r="L131" s="263"/>
      <c r="M131" s="256"/>
      <c r="N131" s="1549"/>
      <c r="O131" s="1549"/>
    </row>
    <row r="132" spans="1:15" s="1560" customFormat="1" ht="18.75" hidden="1" customHeight="1">
      <c r="A132" s="1708" t="s">
        <v>252</v>
      </c>
      <c r="B132" s="293"/>
      <c r="C132" s="2136"/>
      <c r="D132" s="1919"/>
      <c r="E132" s="1975" t="str">
        <f>INDEX(PT_DIFFERENTIATION_VTAR,MATCH(A132,PT_DIFFERENTIATION_VTAR_ID,0))</f>
        <v>Тариф на транспортировку сточных вод</v>
      </c>
      <c r="F132" s="1975" t="str">
        <f>INDEX(PT_DIFFERENTIATION_VDET,MATCH(A132,PT_DIFFERENTIATION_VTAR_ID,0))</f>
        <v/>
      </c>
      <c r="G132" s="1694"/>
      <c r="H132" s="1663"/>
      <c r="I132" s="1701"/>
      <c r="J132" s="1706"/>
      <c r="K132" s="1693" t="s">
        <v>288</v>
      </c>
      <c r="L132" s="263"/>
      <c r="M132" s="256"/>
      <c r="N132" s="1549"/>
      <c r="O132" s="1549"/>
    </row>
    <row r="133" spans="1:15" s="1560" customFormat="1" ht="18.75" hidden="1" customHeight="1">
      <c r="A133" s="1708"/>
      <c r="B133" s="293" t="s">
        <v>1686</v>
      </c>
      <c r="C133" s="2136"/>
      <c r="D133" s="1919"/>
      <c r="E133" s="1975"/>
      <c r="F133" s="1975"/>
      <c r="G133" s="329"/>
      <c r="H133" s="324" t="s">
        <v>1582</v>
      </c>
      <c r="I133" s="270"/>
      <c r="J133" s="330"/>
      <c r="K133" s="118"/>
      <c r="L133" s="263"/>
      <c r="M133" s="256"/>
      <c r="N133" s="1549"/>
      <c r="O133" s="1549"/>
    </row>
    <row r="134" spans="1:15" s="1560" customFormat="1" ht="18.75" hidden="1" customHeight="1">
      <c r="A134" s="1708" t="s">
        <v>257</v>
      </c>
      <c r="B134" s="293"/>
      <c r="C134" s="2136"/>
      <c r="D134" s="1919"/>
      <c r="E134" s="1975" t="str">
        <f>INDEX(PT_DIFFERENTIATION_VTAR,MATCH(A134,PT_DIFFERENTIATION_VTAR_ID,0))</f>
        <v>Тариф на подключение (технологическое присоединение) к централизованной системе водоотведения</v>
      </c>
      <c r="F134" s="1975" t="str">
        <f>INDEX(PT_DIFFERENTIATION_VDET,MATCH(A134,PT_DIFFERENTIATION_VTAR_ID,0))</f>
        <v/>
      </c>
      <c r="G134" s="1694"/>
      <c r="H134" s="1663"/>
      <c r="I134" s="1701"/>
      <c r="J134" s="1706"/>
      <c r="K134" s="1693" t="s">
        <v>288</v>
      </c>
      <c r="L134" s="263"/>
      <c r="M134" s="256"/>
      <c r="N134" s="1549"/>
      <c r="O134" s="1549"/>
    </row>
    <row r="135" spans="1:15" s="1560" customFormat="1" ht="18.75" hidden="1" customHeight="1">
      <c r="A135" s="1708"/>
      <c r="B135" s="293" t="s">
        <v>1686</v>
      </c>
      <c r="C135" s="2136"/>
      <c r="D135" s="1919"/>
      <c r="E135" s="1975"/>
      <c r="F135" s="1975"/>
      <c r="G135" s="329"/>
      <c r="H135" s="324" t="s">
        <v>1582</v>
      </c>
      <c r="I135" s="270"/>
      <c r="J135" s="330"/>
      <c r="K135" s="118"/>
      <c r="L135" s="263"/>
      <c r="M135" s="256"/>
      <c r="N135" s="1549"/>
      <c r="O135" s="1549"/>
    </row>
    <row r="136" spans="1:15" ht="26.25" customHeight="1">
      <c r="A136" s="1708"/>
      <c r="C136" s="300"/>
      <c r="D136" s="67" t="s">
        <v>107</v>
      </c>
      <c r="E136" s="212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F136" s="2126"/>
      <c r="G136" s="2126"/>
      <c r="H136" s="2126"/>
      <c r="I136" s="2126"/>
      <c r="J136" s="2126"/>
      <c r="K136" s="2126"/>
      <c r="L136" s="211"/>
      <c r="M136" s="256"/>
    </row>
    <row r="137" spans="1:15" s="1560" customFormat="1" ht="56.25" hidden="1" customHeight="1">
      <c r="A137" s="1708" t="s">
        <v>151</v>
      </c>
      <c r="B137" s="293"/>
      <c r="C137" s="2136"/>
      <c r="D137" s="1919"/>
      <c r="E137" s="1975" t="str">
        <f>INDEX(PT_DIFFERENTIATION_VTAR,MATCH(A137,PT_DIFFERENTIATION_VTAR_ID,0))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37" s="1975" t="str">
        <f>INDEX(PT_DIFFERENTIATION_VDET,MATCH(A137,PT_DIFFERENTIATION_VTAR_ID,0))</f>
        <v/>
      </c>
      <c r="G137" s="1694"/>
      <c r="H137" s="1663"/>
      <c r="I137" s="1701"/>
      <c r="J137" s="1706"/>
      <c r="K137" s="1693" t="s">
        <v>288</v>
      </c>
      <c r="L137" s="18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M137" s="256"/>
      <c r="N137" s="1549"/>
      <c r="O137" s="1549"/>
    </row>
    <row r="138" spans="1:15" s="1560" customFormat="1" ht="18.75" hidden="1" customHeight="1">
      <c r="A138" s="1708"/>
      <c r="B138" s="293" t="s">
        <v>1686</v>
      </c>
      <c r="C138" s="2136"/>
      <c r="D138" s="1919"/>
      <c r="E138" s="1975"/>
      <c r="F138" s="1975"/>
      <c r="G138" s="329"/>
      <c r="H138" s="324" t="s">
        <v>1582</v>
      </c>
      <c r="I138" s="270"/>
      <c r="J138" s="330"/>
      <c r="K138" s="118"/>
      <c r="L138" s="1885"/>
      <c r="M138" s="256"/>
      <c r="N138" s="1549"/>
      <c r="O138" s="1549"/>
    </row>
    <row r="139" spans="1:15" s="1560" customFormat="1" ht="26.25" hidden="1" customHeight="1">
      <c r="A139" s="1708" t="s">
        <v>157</v>
      </c>
      <c r="B139" s="293"/>
      <c r="C139" s="2136"/>
      <c r="D139" s="1919"/>
      <c r="E139" s="1975" t="str">
        <f>INDEX(PT_DIFFERENTIATION_VTAR,MATCH(A139,PT_DIFFERENTIATION_VTAR_ID,0))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39" s="1975" t="str">
        <f>INDEX(PT_DIFFERENTIATION_VDET,MATCH(A139,PT_DIFFERENTIATION_VTAR_ID,0))</f>
        <v/>
      </c>
      <c r="G139" s="1694"/>
      <c r="H139" s="1663"/>
      <c r="I139" s="1701"/>
      <c r="J139" s="1706"/>
      <c r="K139" s="1693" t="s">
        <v>288</v>
      </c>
      <c r="L139" s="1886"/>
      <c r="M139" s="256"/>
      <c r="N139" s="1549"/>
      <c r="O139" s="1549"/>
    </row>
    <row r="140" spans="1:15" s="1560" customFormat="1" ht="18.75" hidden="1" customHeight="1">
      <c r="A140" s="1708"/>
      <c r="B140" s="293" t="s">
        <v>1686</v>
      </c>
      <c r="C140" s="2136"/>
      <c r="D140" s="1919"/>
      <c r="E140" s="1975"/>
      <c r="F140" s="1975"/>
      <c r="G140" s="329"/>
      <c r="H140" s="324" t="s">
        <v>1582</v>
      </c>
      <c r="I140" s="270"/>
      <c r="J140" s="330"/>
      <c r="K140" s="118"/>
      <c r="L140" s="263"/>
      <c r="M140" s="256"/>
      <c r="N140" s="1549"/>
      <c r="O140" s="1549"/>
    </row>
    <row r="141" spans="1:15" s="1560" customFormat="1" ht="18.75" hidden="1" customHeight="1">
      <c r="A141" s="1708" t="s">
        <v>163</v>
      </c>
      <c r="B141" s="293"/>
      <c r="C141" s="2136"/>
      <c r="D141" s="1919"/>
      <c r="E141" s="1975" t="str">
        <f>INDEX(PT_DIFFERENTIATION_VTAR,MATCH(A141,PT_DIFFERENTIATION_VTAR_ID,0))</f>
        <v>Тарифы на теплоноситель, поставляемый теплоснабжающими организациями потребителям, другим теплоснабжающим организациям</v>
      </c>
      <c r="F141" s="1975" t="str">
        <f>INDEX(PT_DIFFERENTIATION_VDET,MATCH(A141,PT_DIFFERENTIATION_VTAR_ID,0))</f>
        <v/>
      </c>
      <c r="G141" s="1694"/>
      <c r="H141" s="1663"/>
      <c r="I141" s="1701"/>
      <c r="J141" s="1706"/>
      <c r="K141" s="1693" t="s">
        <v>288</v>
      </c>
      <c r="L141" s="263"/>
      <c r="M141" s="256"/>
      <c r="N141" s="1549"/>
      <c r="O141" s="1549"/>
    </row>
    <row r="142" spans="1:15" s="1560" customFormat="1" ht="18.75" hidden="1" customHeight="1">
      <c r="A142" s="1708"/>
      <c r="B142" s="293" t="s">
        <v>1686</v>
      </c>
      <c r="C142" s="2136"/>
      <c r="D142" s="1919"/>
      <c r="E142" s="1975"/>
      <c r="F142" s="1975"/>
      <c r="G142" s="329"/>
      <c r="H142" s="324" t="s">
        <v>1582</v>
      </c>
      <c r="I142" s="270"/>
      <c r="J142" s="330"/>
      <c r="K142" s="118"/>
      <c r="L142" s="263"/>
      <c r="M142" s="256"/>
      <c r="N142" s="1549"/>
      <c r="O142" s="1549"/>
    </row>
    <row r="143" spans="1:15" s="1560" customFormat="1" ht="40.5" hidden="1" customHeight="1">
      <c r="A143" s="1708" t="s">
        <v>169</v>
      </c>
      <c r="B143" s="293"/>
      <c r="C143" s="2136"/>
      <c r="D143" s="1919"/>
      <c r="E143" s="1975" t="str">
        <f>INDEX(PT_DIFFERENTIATION_VTAR,MATCH(A143,PT_DIFFERENTIATION_VTAR_ID,0))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43" s="1975" t="str">
        <f>INDEX(PT_DIFFERENTIATION_VDET,MATCH(A143,PT_DIFFERENTIATION_VTAR_ID,0))</f>
        <v/>
      </c>
      <c r="G143" s="1694"/>
      <c r="H143" s="1663"/>
      <c r="I143" s="1701"/>
      <c r="J143" s="1706"/>
      <c r="K143" s="1693" t="s">
        <v>288</v>
      </c>
      <c r="L143" s="263"/>
      <c r="M143" s="256"/>
      <c r="N143" s="1549"/>
      <c r="O143" s="1549"/>
    </row>
    <row r="144" spans="1:15" s="1560" customFormat="1" ht="18.75" hidden="1" customHeight="1">
      <c r="A144" s="1708"/>
      <c r="B144" s="293" t="s">
        <v>1686</v>
      </c>
      <c r="C144" s="2136"/>
      <c r="D144" s="1919"/>
      <c r="E144" s="1975"/>
      <c r="F144" s="1975"/>
      <c r="G144" s="329"/>
      <c r="H144" s="324" t="s">
        <v>1582</v>
      </c>
      <c r="I144" s="270"/>
      <c r="J144" s="330"/>
      <c r="K144" s="118"/>
      <c r="L144" s="263"/>
      <c r="M144" s="256"/>
      <c r="N144" s="1549"/>
      <c r="O144" s="1549"/>
    </row>
    <row r="145" spans="1:15" s="1560" customFormat="1" ht="18.75" hidden="1" customHeight="1">
      <c r="A145" s="1708" t="s">
        <v>175</v>
      </c>
      <c r="B145" s="293"/>
      <c r="C145" s="2136"/>
      <c r="D145" s="1919"/>
      <c r="E145" s="1975" t="str">
        <f>INDEX(PT_DIFFERENTIATION_VTAR,MATCH(A145,PT_DIFFERENTIATION_VTAR_ID,0))</f>
        <v>Тарифы на услуги по передаче тепловой энергии</v>
      </c>
      <c r="F145" s="1975" t="str">
        <f>INDEX(PT_DIFFERENTIATION_VDET,MATCH(A145,PT_DIFFERENTIATION_VTAR_ID,0))</f>
        <v/>
      </c>
      <c r="G145" s="1694"/>
      <c r="H145" s="1663"/>
      <c r="I145" s="1701"/>
      <c r="J145" s="1706"/>
      <c r="K145" s="1693" t="s">
        <v>288</v>
      </c>
      <c r="L145" s="263"/>
      <c r="M145" s="256"/>
      <c r="N145" s="1549"/>
      <c r="O145" s="1549"/>
    </row>
    <row r="146" spans="1:15" s="1560" customFormat="1" ht="18.75" hidden="1" customHeight="1">
      <c r="A146" s="1708"/>
      <c r="B146" s="293" t="s">
        <v>1686</v>
      </c>
      <c r="C146" s="2136"/>
      <c r="D146" s="1919"/>
      <c r="E146" s="1975"/>
      <c r="F146" s="1975"/>
      <c r="G146" s="329"/>
      <c r="H146" s="324" t="s">
        <v>1582</v>
      </c>
      <c r="I146" s="270"/>
      <c r="J146" s="330"/>
      <c r="K146" s="118"/>
      <c r="L146" s="263"/>
      <c r="M146" s="256"/>
      <c r="N146" s="1549"/>
      <c r="O146" s="1549"/>
    </row>
    <row r="147" spans="1:15" s="1560" customFormat="1" ht="18.75" hidden="1" customHeight="1">
      <c r="A147" s="1708" t="s">
        <v>181</v>
      </c>
      <c r="B147" s="293"/>
      <c r="C147" s="2136"/>
      <c r="D147" s="1919"/>
      <c r="E147" s="1975" t="str">
        <f>INDEX(PT_DIFFERENTIATION_VTAR,MATCH(A147,PT_DIFFERENTIATION_VTAR_ID,0))</f>
        <v>Тарифы на услуги по передаче теплоносителя</v>
      </c>
      <c r="F147" s="1975" t="str">
        <f>INDEX(PT_DIFFERENTIATION_VDET,MATCH(A147,PT_DIFFERENTIATION_VTAR_ID,0))</f>
        <v/>
      </c>
      <c r="G147" s="1694"/>
      <c r="H147" s="1663"/>
      <c r="I147" s="1701"/>
      <c r="J147" s="1706"/>
      <c r="K147" s="1693" t="s">
        <v>288</v>
      </c>
      <c r="L147" s="263"/>
      <c r="M147" s="256"/>
      <c r="N147" s="1549"/>
      <c r="O147" s="1549"/>
    </row>
    <row r="148" spans="1:15" s="1560" customFormat="1" ht="18.75" hidden="1" customHeight="1">
      <c r="A148" s="1708"/>
      <c r="B148" s="293" t="s">
        <v>1686</v>
      </c>
      <c r="C148" s="2136"/>
      <c r="D148" s="1919"/>
      <c r="E148" s="1975"/>
      <c r="F148" s="1975"/>
      <c r="G148" s="329"/>
      <c r="H148" s="324" t="s">
        <v>1582</v>
      </c>
      <c r="I148" s="270"/>
      <c r="J148" s="330"/>
      <c r="K148" s="118"/>
      <c r="L148" s="263"/>
      <c r="M148" s="256"/>
      <c r="N148" s="1549"/>
      <c r="O148" s="1549"/>
    </row>
    <row r="149" spans="1:15" s="1560" customFormat="1" ht="18.75" hidden="1" customHeight="1">
      <c r="A149" s="1708" t="s">
        <v>187</v>
      </c>
      <c r="B149" s="293"/>
      <c r="C149" s="2136"/>
      <c r="D149" s="1919"/>
      <c r="E149" s="1975" t="str">
        <f>INDEX(PT_DIFFERENTIATION_VTAR,MATCH(A149,PT_DIFFERENTIATION_VTAR_ID,0))</f>
        <v>Плата за услуги по поддержанию резервной тепловой мощности при отсутствии потребления тепловой энергии</v>
      </c>
      <c r="F149" s="1975" t="str">
        <f>INDEX(PT_DIFFERENTIATION_VDET,MATCH(A149,PT_DIFFERENTIATION_VTAR_ID,0))</f>
        <v/>
      </c>
      <c r="G149" s="1694"/>
      <c r="H149" s="1663"/>
      <c r="I149" s="1701"/>
      <c r="J149" s="1706"/>
      <c r="K149" s="1693" t="s">
        <v>288</v>
      </c>
      <c r="L149" s="263"/>
      <c r="M149" s="256"/>
      <c r="N149" s="1549"/>
      <c r="O149" s="1549"/>
    </row>
    <row r="150" spans="1:15" s="1560" customFormat="1" ht="18.75" hidden="1" customHeight="1">
      <c r="A150" s="1708"/>
      <c r="B150" s="293" t="s">
        <v>1686</v>
      </c>
      <c r="C150" s="2136"/>
      <c r="D150" s="1919"/>
      <c r="E150" s="1975"/>
      <c r="F150" s="1975"/>
      <c r="G150" s="329"/>
      <c r="H150" s="324" t="s">
        <v>1582</v>
      </c>
      <c r="I150" s="270"/>
      <c r="J150" s="330"/>
      <c r="K150" s="118"/>
      <c r="L150" s="263"/>
      <c r="M150" s="256"/>
      <c r="N150" s="1549"/>
      <c r="O150" s="1549"/>
    </row>
    <row r="151" spans="1:15" s="1560" customFormat="1" ht="18.75" hidden="1" customHeight="1">
      <c r="A151" s="1708" t="s">
        <v>193</v>
      </c>
      <c r="B151" s="293"/>
      <c r="C151" s="2136"/>
      <c r="D151" s="1919"/>
      <c r="E151" s="1975" t="str">
        <f>INDEX(PT_DIFFERENTIATION_VTAR,MATCH(A151,PT_DIFFERENTIATION_VTAR_ID,0))</f>
        <v>Плата за подключение (технологическое присоединение) к системе теплоснабжения</v>
      </c>
      <c r="F151" s="1975" t="str">
        <f>INDEX(PT_DIFFERENTIATION_VDET,MATCH(A151,PT_DIFFERENTIATION_VTAR_ID,0))</f>
        <v/>
      </c>
      <c r="G151" s="1694"/>
      <c r="H151" s="1663"/>
      <c r="I151" s="1701"/>
      <c r="J151" s="1706"/>
      <c r="K151" s="1693" t="s">
        <v>288</v>
      </c>
      <c r="L151" s="263"/>
      <c r="M151" s="256"/>
      <c r="N151" s="1549"/>
      <c r="O151" s="1549"/>
    </row>
    <row r="152" spans="1:15" s="1560" customFormat="1" ht="18.75" hidden="1" customHeight="1">
      <c r="A152" s="1708"/>
      <c r="B152" s="293" t="s">
        <v>1686</v>
      </c>
      <c r="C152" s="2136"/>
      <c r="D152" s="1919"/>
      <c r="E152" s="1975"/>
      <c r="F152" s="1975"/>
      <c r="G152" s="329"/>
      <c r="H152" s="324" t="s">
        <v>1582</v>
      </c>
      <c r="I152" s="270"/>
      <c r="J152" s="330"/>
      <c r="K152" s="118"/>
      <c r="L152" s="263"/>
      <c r="M152" s="256"/>
      <c r="N152" s="1549"/>
      <c r="O152" s="1549"/>
    </row>
    <row r="153" spans="1:15" s="1560" customFormat="1" ht="18.75" hidden="1" customHeight="1">
      <c r="A153" s="1708" t="s">
        <v>207</v>
      </c>
      <c r="B153" s="293"/>
      <c r="C153" s="2136"/>
      <c r="D153" s="1919"/>
      <c r="E153" s="1975" t="str">
        <f>INDEX(PT_DIFFERENTIATION_VTAR,MATCH(A153,PT_DIFFERENTIATION_VTAR_ID,0))</f>
        <v>Тариф на питьевую воду (питьевое водоснабжение)</v>
      </c>
      <c r="F153" s="1975" t="str">
        <f>INDEX(PT_DIFFERENTIATION_VDET,MATCH(A153,PT_DIFFERENTIATION_VTAR_ID,0))</f>
        <v/>
      </c>
      <c r="G153" s="1694"/>
      <c r="H153" s="1663"/>
      <c r="I153" s="1701"/>
      <c r="J153" s="1706"/>
      <c r="K153" s="1693" t="s">
        <v>288</v>
      </c>
      <c r="L153" s="263"/>
      <c r="M153" s="256"/>
      <c r="N153" s="1549"/>
      <c r="O153" s="1549"/>
    </row>
    <row r="154" spans="1:15" s="1560" customFormat="1" ht="18.75" hidden="1" customHeight="1">
      <c r="A154" s="1708"/>
      <c r="B154" s="293" t="s">
        <v>1686</v>
      </c>
      <c r="C154" s="2136"/>
      <c r="D154" s="1919"/>
      <c r="E154" s="1975"/>
      <c r="F154" s="1975"/>
      <c r="G154" s="329"/>
      <c r="H154" s="324" t="s">
        <v>1582</v>
      </c>
      <c r="I154" s="270"/>
      <c r="J154" s="330"/>
      <c r="K154" s="118"/>
      <c r="L154" s="263"/>
      <c r="M154" s="256"/>
      <c r="N154" s="1549"/>
      <c r="O154" s="1549"/>
    </row>
    <row r="155" spans="1:15" s="1560" customFormat="1" ht="18.75" hidden="1" customHeight="1">
      <c r="A155" s="1708" t="s">
        <v>212</v>
      </c>
      <c r="B155" s="293"/>
      <c r="C155" s="2136"/>
      <c r="D155" s="1919"/>
      <c r="E155" s="1975" t="str">
        <f>INDEX(PT_DIFFERENTIATION_VTAR,MATCH(A155,PT_DIFFERENTIATION_VTAR_ID,0))</f>
        <v>Тариф на техническую воду</v>
      </c>
      <c r="F155" s="1975" t="str">
        <f>INDEX(PT_DIFFERENTIATION_VDET,MATCH(A155,PT_DIFFERENTIATION_VTAR_ID,0))</f>
        <v/>
      </c>
      <c r="G155" s="1694"/>
      <c r="H155" s="1663"/>
      <c r="I155" s="1701"/>
      <c r="J155" s="1706"/>
      <c r="K155" s="1693" t="s">
        <v>288</v>
      </c>
      <c r="L155" s="263"/>
      <c r="M155" s="256"/>
      <c r="N155" s="1549"/>
      <c r="O155" s="1549"/>
    </row>
    <row r="156" spans="1:15" s="1560" customFormat="1" ht="18.75" hidden="1" customHeight="1">
      <c r="A156" s="1708"/>
      <c r="B156" s="293" t="s">
        <v>1686</v>
      </c>
      <c r="C156" s="2136"/>
      <c r="D156" s="1919"/>
      <c r="E156" s="1975"/>
      <c r="F156" s="1975"/>
      <c r="G156" s="329"/>
      <c r="H156" s="324" t="s">
        <v>1582</v>
      </c>
      <c r="I156" s="270"/>
      <c r="J156" s="330"/>
      <c r="K156" s="118"/>
      <c r="L156" s="263"/>
      <c r="M156" s="256"/>
      <c r="N156" s="1549"/>
      <c r="O156" s="1549"/>
    </row>
    <row r="157" spans="1:15" s="1560" customFormat="1" ht="18.75" hidden="1" customHeight="1">
      <c r="A157" s="1708" t="s">
        <v>217</v>
      </c>
      <c r="B157" s="293"/>
      <c r="C157" s="2136"/>
      <c r="D157" s="1919"/>
      <c r="E157" s="1975" t="str">
        <f>INDEX(PT_DIFFERENTIATION_VTAR,MATCH(A157,PT_DIFFERENTIATION_VTAR_ID,0))</f>
        <v>Тариф на транспортировку воды</v>
      </c>
      <c r="F157" s="1975" t="str">
        <f>INDEX(PT_DIFFERENTIATION_VDET,MATCH(A157,PT_DIFFERENTIATION_VTAR_ID,0))</f>
        <v/>
      </c>
      <c r="G157" s="1694"/>
      <c r="H157" s="1663"/>
      <c r="I157" s="1701"/>
      <c r="J157" s="1706"/>
      <c r="K157" s="1693" t="s">
        <v>288</v>
      </c>
      <c r="L157" s="263"/>
      <c r="M157" s="256"/>
      <c r="N157" s="1549"/>
      <c r="O157" s="1549"/>
    </row>
    <row r="158" spans="1:15" s="1560" customFormat="1" ht="18.75" hidden="1" customHeight="1">
      <c r="A158" s="1708"/>
      <c r="B158" s="293" t="s">
        <v>1686</v>
      </c>
      <c r="C158" s="2136"/>
      <c r="D158" s="1919"/>
      <c r="E158" s="1975"/>
      <c r="F158" s="1975"/>
      <c r="G158" s="329"/>
      <c r="H158" s="324" t="s">
        <v>1582</v>
      </c>
      <c r="I158" s="270"/>
      <c r="J158" s="330"/>
      <c r="K158" s="118"/>
      <c r="L158" s="263"/>
      <c r="M158" s="256"/>
      <c r="N158" s="1549"/>
      <c r="O158" s="1549"/>
    </row>
    <row r="159" spans="1:15" s="1560" customFormat="1" ht="18.75" hidden="1" customHeight="1">
      <c r="A159" s="1708" t="s">
        <v>222</v>
      </c>
      <c r="B159" s="293"/>
      <c r="C159" s="2136"/>
      <c r="D159" s="1919"/>
      <c r="E159" s="1975" t="str">
        <f>INDEX(PT_DIFFERENTIATION_VTAR,MATCH(A159,PT_DIFFERENTIATION_VTAR_ID,0))</f>
        <v>Тариф на подвоз воды</v>
      </c>
      <c r="F159" s="1975" t="str">
        <f>INDEX(PT_DIFFERENTIATION_VDET,MATCH(A159,PT_DIFFERENTIATION_VTAR_ID,0))</f>
        <v/>
      </c>
      <c r="G159" s="1694"/>
      <c r="H159" s="1663"/>
      <c r="I159" s="1701"/>
      <c r="J159" s="1706"/>
      <c r="K159" s="1693" t="s">
        <v>288</v>
      </c>
      <c r="L159" s="263"/>
      <c r="M159" s="256"/>
      <c r="N159" s="1549"/>
      <c r="O159" s="1549"/>
    </row>
    <row r="160" spans="1:15" s="1560" customFormat="1" ht="18.75" hidden="1" customHeight="1">
      <c r="A160" s="1708"/>
      <c r="B160" s="293" t="s">
        <v>1686</v>
      </c>
      <c r="C160" s="2136"/>
      <c r="D160" s="1919"/>
      <c r="E160" s="1975"/>
      <c r="F160" s="1975"/>
      <c r="G160" s="329"/>
      <c r="H160" s="324" t="s">
        <v>1582</v>
      </c>
      <c r="I160" s="270"/>
      <c r="J160" s="330"/>
      <c r="K160" s="118"/>
      <c r="L160" s="263"/>
      <c r="M160" s="256"/>
      <c r="N160" s="1549"/>
      <c r="O160" s="1549"/>
    </row>
    <row r="161" spans="1:15" s="1560" customFormat="1" ht="18.75" hidden="1" customHeight="1">
      <c r="A161" s="1708" t="s">
        <v>227</v>
      </c>
      <c r="B161" s="293"/>
      <c r="C161" s="2136"/>
      <c r="D161" s="1919"/>
      <c r="E161" s="1975" t="str">
        <f>INDEX(PT_DIFFERENTIATION_VTAR,MATCH(A161,PT_DIFFERENTIATION_VTAR_ID,0))</f>
        <v>Тариф на подключение (технологическое присоединение) к централизованной системе холодного водоснабжения</v>
      </c>
      <c r="F161" s="1975" t="str">
        <f>INDEX(PT_DIFFERENTIATION_VDET,MATCH(A161,PT_DIFFERENTIATION_VTAR_ID,0))</f>
        <v/>
      </c>
      <c r="G161" s="1694"/>
      <c r="H161" s="1663"/>
      <c r="I161" s="1701"/>
      <c r="J161" s="1706"/>
      <c r="K161" s="1693" t="s">
        <v>288</v>
      </c>
      <c r="L161" s="263"/>
      <c r="M161" s="256"/>
      <c r="N161" s="1549"/>
      <c r="O161" s="1549"/>
    </row>
    <row r="162" spans="1:15" s="1560" customFormat="1" ht="18.75" hidden="1" customHeight="1">
      <c r="A162" s="1708"/>
      <c r="B162" s="293" t="s">
        <v>1686</v>
      </c>
      <c r="C162" s="2136"/>
      <c r="D162" s="1919"/>
      <c r="E162" s="1975"/>
      <c r="F162" s="1975"/>
      <c r="G162" s="329"/>
      <c r="H162" s="324" t="s">
        <v>1582</v>
      </c>
      <c r="I162" s="270"/>
      <c r="J162" s="330"/>
      <c r="K162" s="118"/>
      <c r="L162" s="263"/>
      <c r="M162" s="256"/>
      <c r="N162" s="1549"/>
      <c r="O162" s="1549"/>
    </row>
    <row r="163" spans="1:15" s="1560" customFormat="1" ht="18.75" hidden="1" customHeight="1">
      <c r="A163" s="1708" t="s">
        <v>232</v>
      </c>
      <c r="B163" s="293"/>
      <c r="C163" s="2136"/>
      <c r="D163" s="1919"/>
      <c r="E163" s="1975" t="str">
        <f>INDEX(PT_DIFFERENTIATION_VTAR,MATCH(A163,PT_DIFFERENTIATION_VTAR_ID,0))</f>
        <v>Тариф на горячую воду (горячее водоснабжение)</v>
      </c>
      <c r="F163" s="1975" t="str">
        <f>INDEX(PT_DIFFERENTIATION_VDET,MATCH(A163,PT_DIFFERENTIATION_VTAR_ID,0))</f>
        <v/>
      </c>
      <c r="G163" s="1694"/>
      <c r="H163" s="1663"/>
      <c r="I163" s="1701"/>
      <c r="J163" s="1706"/>
      <c r="K163" s="1693" t="s">
        <v>288</v>
      </c>
      <c r="L163" s="263"/>
      <c r="M163" s="256"/>
      <c r="N163" s="1549"/>
      <c r="O163" s="1549"/>
    </row>
    <row r="164" spans="1:15" s="1560" customFormat="1" ht="18.75" hidden="1" customHeight="1">
      <c r="A164" s="1708"/>
      <c r="B164" s="293" t="s">
        <v>1686</v>
      </c>
      <c r="C164" s="2136"/>
      <c r="D164" s="1919"/>
      <c r="E164" s="1975"/>
      <c r="F164" s="1975"/>
      <c r="G164" s="329"/>
      <c r="H164" s="324" t="s">
        <v>1582</v>
      </c>
      <c r="I164" s="270"/>
      <c r="J164" s="330"/>
      <c r="K164" s="118"/>
      <c r="L164" s="263"/>
      <c r="M164" s="256"/>
      <c r="N164" s="1549"/>
      <c r="O164" s="1549"/>
    </row>
    <row r="165" spans="1:15" s="1560" customFormat="1" ht="18.75" hidden="1" customHeight="1">
      <c r="A165" s="1708" t="s">
        <v>237</v>
      </c>
      <c r="B165" s="293"/>
      <c r="C165" s="2136"/>
      <c r="D165" s="1919"/>
      <c r="E165" s="1975" t="str">
        <f>INDEX(PT_DIFFERENTIATION_VTAR,MATCH(A165,PT_DIFFERENTIATION_VTAR_ID,0))</f>
        <v>Тариф на транспортировку горячей воды</v>
      </c>
      <c r="F165" s="1975" t="str">
        <f>INDEX(PT_DIFFERENTIATION_VDET,MATCH(A165,PT_DIFFERENTIATION_VTAR_ID,0))</f>
        <v/>
      </c>
      <c r="G165" s="1694"/>
      <c r="H165" s="1663"/>
      <c r="I165" s="1701"/>
      <c r="J165" s="1706"/>
      <c r="K165" s="1693" t="s">
        <v>288</v>
      </c>
      <c r="L165" s="263"/>
      <c r="M165" s="256"/>
      <c r="N165" s="1549"/>
      <c r="O165" s="1549"/>
    </row>
    <row r="166" spans="1:15" s="1560" customFormat="1" ht="18.75" hidden="1" customHeight="1">
      <c r="A166" s="1708"/>
      <c r="B166" s="293" t="s">
        <v>1686</v>
      </c>
      <c r="C166" s="2136"/>
      <c r="D166" s="1919"/>
      <c r="E166" s="1975"/>
      <c r="F166" s="1975"/>
      <c r="G166" s="329"/>
      <c r="H166" s="324" t="s">
        <v>1582</v>
      </c>
      <c r="I166" s="270"/>
      <c r="J166" s="330"/>
      <c r="K166" s="118"/>
      <c r="L166" s="263"/>
      <c r="M166" s="256"/>
      <c r="N166" s="1549"/>
      <c r="O166" s="1549"/>
    </row>
    <row r="167" spans="1:15" s="1560" customFormat="1" ht="18.75" hidden="1" customHeight="1">
      <c r="A167" s="1708" t="s">
        <v>242</v>
      </c>
      <c r="B167" s="293"/>
      <c r="C167" s="2136"/>
      <c r="D167" s="1919"/>
      <c r="E167" s="1975" t="str">
        <f>INDEX(PT_DIFFERENTIATION_VTAR,MATCH(A167,PT_DIFFERENTIATION_VTAR_ID,0))</f>
        <v>Тариф на подключение (технологическое присоединение) к централизованной системе горячего водоснабжения</v>
      </c>
      <c r="F167" s="1975" t="str">
        <f>INDEX(PT_DIFFERENTIATION_VDET,MATCH(A167,PT_DIFFERENTIATION_VTAR_ID,0))</f>
        <v/>
      </c>
      <c r="G167" s="1694"/>
      <c r="H167" s="1663"/>
      <c r="I167" s="1701"/>
      <c r="J167" s="1706"/>
      <c r="K167" s="1693" t="s">
        <v>288</v>
      </c>
      <c r="L167" s="263"/>
      <c r="M167" s="256"/>
      <c r="N167" s="1549"/>
      <c r="O167" s="1549"/>
    </row>
    <row r="168" spans="1:15" s="1560" customFormat="1" ht="18.75" hidden="1" customHeight="1">
      <c r="A168" s="1708"/>
      <c r="B168" s="293" t="s">
        <v>1686</v>
      </c>
      <c r="C168" s="2136"/>
      <c r="D168" s="1919"/>
      <c r="E168" s="1975"/>
      <c r="F168" s="1975"/>
      <c r="G168" s="329"/>
      <c r="H168" s="324" t="s">
        <v>1582</v>
      </c>
      <c r="I168" s="270"/>
      <c r="J168" s="330"/>
      <c r="K168" s="118"/>
      <c r="L168" s="263"/>
      <c r="M168" s="256"/>
      <c r="N168" s="1549"/>
      <c r="O168" s="1549"/>
    </row>
    <row r="169" spans="1:15" s="1560" customFormat="1" ht="18.75" hidden="1" customHeight="1">
      <c r="A169" s="1708" t="s">
        <v>247</v>
      </c>
      <c r="B169" s="293"/>
      <c r="C169" s="2136"/>
      <c r="D169" s="1919"/>
      <c r="E169" s="1975" t="str">
        <f>INDEX(PT_DIFFERENTIATION_VTAR,MATCH(A169,PT_DIFFERENTIATION_VTAR_ID,0))</f>
        <v>Тариф на водоотведение</v>
      </c>
      <c r="F169" s="1975" t="str">
        <f>INDEX(PT_DIFFERENTIATION_VDET,MATCH(A169,PT_DIFFERENTIATION_VTAR_ID,0))</f>
        <v/>
      </c>
      <c r="G169" s="1694"/>
      <c r="H169" s="1663"/>
      <c r="I169" s="1701"/>
      <c r="J169" s="1706"/>
      <c r="K169" s="1693" t="s">
        <v>288</v>
      </c>
      <c r="L169" s="263"/>
      <c r="M169" s="256"/>
      <c r="N169" s="1549"/>
      <c r="O169" s="1549"/>
    </row>
    <row r="170" spans="1:15" s="1560" customFormat="1" ht="18.75" hidden="1" customHeight="1">
      <c r="A170" s="1708"/>
      <c r="B170" s="293" t="s">
        <v>1686</v>
      </c>
      <c r="C170" s="2136"/>
      <c r="D170" s="1919"/>
      <c r="E170" s="1975"/>
      <c r="F170" s="1975"/>
      <c r="G170" s="329"/>
      <c r="H170" s="324" t="s">
        <v>1582</v>
      </c>
      <c r="I170" s="270"/>
      <c r="J170" s="330"/>
      <c r="K170" s="118"/>
      <c r="L170" s="263"/>
      <c r="M170" s="256"/>
      <c r="N170" s="1549"/>
      <c r="O170" s="1549"/>
    </row>
    <row r="171" spans="1:15" s="1560" customFormat="1" ht="18.75" hidden="1" customHeight="1">
      <c r="A171" s="1708" t="s">
        <v>252</v>
      </c>
      <c r="B171" s="293"/>
      <c r="C171" s="2136"/>
      <c r="D171" s="1919"/>
      <c r="E171" s="1975" t="str">
        <f>INDEX(PT_DIFFERENTIATION_VTAR,MATCH(A171,PT_DIFFERENTIATION_VTAR_ID,0))</f>
        <v>Тариф на транспортировку сточных вод</v>
      </c>
      <c r="F171" s="1975" t="str">
        <f>INDEX(PT_DIFFERENTIATION_VDET,MATCH(A171,PT_DIFFERENTIATION_VTAR_ID,0))</f>
        <v/>
      </c>
      <c r="G171" s="1694"/>
      <c r="H171" s="1663"/>
      <c r="I171" s="1701"/>
      <c r="J171" s="1706"/>
      <c r="K171" s="1693" t="s">
        <v>288</v>
      </c>
      <c r="L171" s="263"/>
      <c r="M171" s="256"/>
      <c r="N171" s="1549"/>
      <c r="O171" s="1549"/>
    </row>
    <row r="172" spans="1:15" s="1560" customFormat="1" ht="18.75" hidden="1" customHeight="1">
      <c r="A172" s="1708"/>
      <c r="B172" s="293" t="s">
        <v>1686</v>
      </c>
      <c r="C172" s="2136"/>
      <c r="D172" s="1919"/>
      <c r="E172" s="1975"/>
      <c r="F172" s="1975"/>
      <c r="G172" s="329"/>
      <c r="H172" s="324" t="s">
        <v>1582</v>
      </c>
      <c r="I172" s="270"/>
      <c r="J172" s="330"/>
      <c r="K172" s="118"/>
      <c r="L172" s="263"/>
      <c r="M172" s="256"/>
      <c r="N172" s="1549"/>
      <c r="O172" s="1549"/>
    </row>
    <row r="173" spans="1:15" s="1560" customFormat="1" ht="18.75" hidden="1" customHeight="1">
      <c r="A173" s="1708" t="s">
        <v>257</v>
      </c>
      <c r="B173" s="293"/>
      <c r="C173" s="2136"/>
      <c r="D173" s="1919"/>
      <c r="E173" s="1975" t="str">
        <f>INDEX(PT_DIFFERENTIATION_VTAR,MATCH(A173,PT_DIFFERENTIATION_VTAR_ID,0))</f>
        <v>Тариф на подключение (технологическое присоединение) к централизованной системе водоотведения</v>
      </c>
      <c r="F173" s="1975" t="str">
        <f>INDEX(PT_DIFFERENTIATION_VDET,MATCH(A173,PT_DIFFERENTIATION_VTAR_ID,0))</f>
        <v/>
      </c>
      <c r="G173" s="1694"/>
      <c r="H173" s="1663"/>
      <c r="I173" s="1701"/>
      <c r="J173" s="1706"/>
      <c r="K173" s="1693" t="s">
        <v>288</v>
      </c>
      <c r="L173" s="263"/>
      <c r="M173" s="256"/>
      <c r="N173" s="1549"/>
      <c r="O173" s="1549"/>
    </row>
    <row r="174" spans="1:15" s="1560" customFormat="1" ht="18.75" hidden="1" customHeight="1">
      <c r="A174" s="1708"/>
      <c r="B174" s="293" t="s">
        <v>1686</v>
      </c>
      <c r="C174" s="2136"/>
      <c r="D174" s="1919"/>
      <c r="E174" s="1975"/>
      <c r="F174" s="1975"/>
      <c r="G174" s="329"/>
      <c r="H174" s="324" t="s">
        <v>1582</v>
      </c>
      <c r="I174" s="270"/>
      <c r="J174" s="330"/>
      <c r="K174" s="118"/>
      <c r="L174" s="263"/>
      <c r="M174" s="256"/>
      <c r="N174" s="1549"/>
      <c r="O174" s="1549"/>
    </row>
    <row r="175" spans="1:15" ht="25.5" customHeight="1">
      <c r="A175" s="1708"/>
      <c r="C175" s="300"/>
      <c r="D175" s="67" t="s">
        <v>91</v>
      </c>
      <c r="E175" s="2126" t="str">
        <f>"Размер экономически обоснованных расходов, не учтенных при установлении "&amp;IF(TEMPLATE_SPHERE="HEAT","регулируемых цен (тарифов)","тарифов")&amp;"в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тарифовв предыдущий период регулирования (при их наличии), определенных в соответствии с Основами ценообразования в сфере водоснабжения и водоотведения</v>
      </c>
      <c r="F175" s="2126"/>
      <c r="G175" s="2126"/>
      <c r="H175" s="2126"/>
      <c r="I175" s="2126"/>
      <c r="J175" s="2126"/>
      <c r="K175" s="2126"/>
      <c r="L175" s="211"/>
      <c r="M175" s="256"/>
    </row>
    <row r="176" spans="1:15" s="1560" customFormat="1" ht="56.25" hidden="1" customHeight="1">
      <c r="A176" s="1708" t="s">
        <v>151</v>
      </c>
      <c r="B176" s="293"/>
      <c r="C176" s="2136"/>
      <c r="D176" s="1919"/>
      <c r="E176" s="1975" t="str">
        <f>INDEX(PT_DIFFERENTIATION_VTAR,MATCH(A176,PT_DIFFERENTIATION_VTAR_ID,0))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76" s="1975" t="str">
        <f>INDEX(PT_DIFFERENTIATION_VDET,MATCH(A176,PT_DIFFERENTIATION_VTAR_ID,0))</f>
        <v/>
      </c>
      <c r="G176" s="1694"/>
      <c r="H176" s="1663"/>
      <c r="I176" s="1701"/>
      <c r="J176" s="1706"/>
      <c r="K176" s="1693" t="s">
        <v>288</v>
      </c>
      <c r="L176" s="188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M176" s="256"/>
      <c r="N176" s="1549"/>
      <c r="O176" s="1549"/>
    </row>
    <row r="177" spans="1:15" s="1560" customFormat="1" ht="18.75" hidden="1" customHeight="1">
      <c r="A177" s="1708"/>
      <c r="B177" s="293" t="s">
        <v>1686</v>
      </c>
      <c r="C177" s="2136"/>
      <c r="D177" s="1919"/>
      <c r="E177" s="1975"/>
      <c r="F177" s="1975"/>
      <c r="G177" s="329"/>
      <c r="H177" s="324" t="s">
        <v>1582</v>
      </c>
      <c r="I177" s="270"/>
      <c r="J177" s="330"/>
      <c r="K177" s="118"/>
      <c r="L177" s="1885"/>
      <c r="M177" s="256"/>
      <c r="N177" s="1549"/>
      <c r="O177" s="1549"/>
    </row>
    <row r="178" spans="1:15" s="1560" customFormat="1" ht="26.25" hidden="1" customHeight="1">
      <c r="A178" s="1708" t="s">
        <v>157</v>
      </c>
      <c r="B178" s="293"/>
      <c r="C178" s="2136"/>
      <c r="D178" s="1919"/>
      <c r="E178" s="1975" t="str">
        <f>INDEX(PT_DIFFERENTIATION_VTAR,MATCH(A178,PT_DIFFERENTIATION_VTAR_ID,0))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78" s="1975" t="str">
        <f>INDEX(PT_DIFFERENTIATION_VDET,MATCH(A178,PT_DIFFERENTIATION_VTAR_ID,0))</f>
        <v/>
      </c>
      <c r="G178" s="1694"/>
      <c r="H178" s="1663"/>
      <c r="I178" s="1701"/>
      <c r="J178" s="1706"/>
      <c r="K178" s="1693" t="s">
        <v>288</v>
      </c>
      <c r="L178" s="1886"/>
      <c r="M178" s="256"/>
      <c r="N178" s="1549"/>
      <c r="O178" s="1549"/>
    </row>
    <row r="179" spans="1:15" s="1560" customFormat="1" ht="18.75" hidden="1" customHeight="1">
      <c r="A179" s="1708"/>
      <c r="B179" s="293" t="s">
        <v>1686</v>
      </c>
      <c r="C179" s="2136"/>
      <c r="D179" s="1919"/>
      <c r="E179" s="1975"/>
      <c r="F179" s="1975"/>
      <c r="G179" s="329"/>
      <c r="H179" s="324" t="s">
        <v>1582</v>
      </c>
      <c r="I179" s="270"/>
      <c r="J179" s="330"/>
      <c r="K179" s="118"/>
      <c r="L179" s="263"/>
      <c r="M179" s="256"/>
      <c r="N179" s="1549"/>
      <c r="O179" s="1549"/>
    </row>
    <row r="180" spans="1:15" s="1560" customFormat="1" ht="18.75" hidden="1" customHeight="1">
      <c r="A180" s="1708" t="s">
        <v>163</v>
      </c>
      <c r="B180" s="293"/>
      <c r="C180" s="2136"/>
      <c r="D180" s="1919"/>
      <c r="E180" s="1975" t="str">
        <f>INDEX(PT_DIFFERENTIATION_VTAR,MATCH(A180,PT_DIFFERENTIATION_VTAR_ID,0))</f>
        <v>Тарифы на теплоноситель, поставляемый теплоснабжающими организациями потребителям, другим теплоснабжающим организациям</v>
      </c>
      <c r="F180" s="1975" t="str">
        <f>INDEX(PT_DIFFERENTIATION_VDET,MATCH(A180,PT_DIFFERENTIATION_VTAR_ID,0))</f>
        <v/>
      </c>
      <c r="G180" s="1694"/>
      <c r="H180" s="1663"/>
      <c r="I180" s="1701"/>
      <c r="J180" s="1706"/>
      <c r="K180" s="1693" t="s">
        <v>288</v>
      </c>
      <c r="L180" s="263"/>
      <c r="M180" s="256"/>
      <c r="N180" s="1549"/>
      <c r="O180" s="1549"/>
    </row>
    <row r="181" spans="1:15" s="1560" customFormat="1" ht="18.75" hidden="1" customHeight="1">
      <c r="A181" s="1708"/>
      <c r="B181" s="293" t="s">
        <v>1686</v>
      </c>
      <c r="C181" s="2136"/>
      <c r="D181" s="1919"/>
      <c r="E181" s="1975"/>
      <c r="F181" s="1975"/>
      <c r="G181" s="329"/>
      <c r="H181" s="324" t="s">
        <v>1582</v>
      </c>
      <c r="I181" s="270"/>
      <c r="J181" s="330"/>
      <c r="K181" s="118"/>
      <c r="L181" s="263"/>
      <c r="M181" s="256"/>
      <c r="N181" s="1549"/>
      <c r="O181" s="1549"/>
    </row>
    <row r="182" spans="1:15" s="1560" customFormat="1" ht="41.25" hidden="1" customHeight="1">
      <c r="A182" s="1708" t="s">
        <v>169</v>
      </c>
      <c r="B182" s="293"/>
      <c r="C182" s="2136"/>
      <c r="D182" s="1919"/>
      <c r="E182" s="1975" t="str">
        <f>INDEX(PT_DIFFERENTIATION_VTAR,MATCH(A182,PT_DIFFERENTIATION_VTAR_ID,0))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82" s="1975" t="str">
        <f>INDEX(PT_DIFFERENTIATION_VDET,MATCH(A182,PT_DIFFERENTIATION_VTAR_ID,0))</f>
        <v/>
      </c>
      <c r="G182" s="1694"/>
      <c r="H182" s="1663"/>
      <c r="I182" s="1701"/>
      <c r="J182" s="1706"/>
      <c r="K182" s="1693" t="s">
        <v>288</v>
      </c>
      <c r="L182" s="263"/>
      <c r="M182" s="256"/>
      <c r="N182" s="1549"/>
      <c r="O182" s="1549"/>
    </row>
    <row r="183" spans="1:15" s="1560" customFormat="1" ht="18.75" hidden="1" customHeight="1">
      <c r="A183" s="1708"/>
      <c r="B183" s="293" t="s">
        <v>1686</v>
      </c>
      <c r="C183" s="2136"/>
      <c r="D183" s="1919"/>
      <c r="E183" s="1975"/>
      <c r="F183" s="1975"/>
      <c r="G183" s="329"/>
      <c r="H183" s="324" t="s">
        <v>1582</v>
      </c>
      <c r="I183" s="270"/>
      <c r="J183" s="330"/>
      <c r="K183" s="118"/>
      <c r="L183" s="263"/>
      <c r="M183" s="256"/>
      <c r="N183" s="1549"/>
      <c r="O183" s="1549"/>
    </row>
    <row r="184" spans="1:15" s="1560" customFormat="1" ht="18.75" hidden="1" customHeight="1">
      <c r="A184" s="1708" t="s">
        <v>175</v>
      </c>
      <c r="B184" s="293"/>
      <c r="C184" s="2136"/>
      <c r="D184" s="1919"/>
      <c r="E184" s="1975" t="str">
        <f>INDEX(PT_DIFFERENTIATION_VTAR,MATCH(A184,PT_DIFFERENTIATION_VTAR_ID,0))</f>
        <v>Тарифы на услуги по передаче тепловой энергии</v>
      </c>
      <c r="F184" s="1975" t="str">
        <f>INDEX(PT_DIFFERENTIATION_VDET,MATCH(A184,PT_DIFFERENTIATION_VTAR_ID,0))</f>
        <v/>
      </c>
      <c r="G184" s="1694"/>
      <c r="H184" s="1663"/>
      <c r="I184" s="1701"/>
      <c r="J184" s="1706"/>
      <c r="K184" s="1693" t="s">
        <v>288</v>
      </c>
      <c r="L184" s="263"/>
      <c r="M184" s="256"/>
      <c r="N184" s="1549"/>
      <c r="O184" s="1549"/>
    </row>
    <row r="185" spans="1:15" s="1560" customFormat="1" ht="18.75" hidden="1" customHeight="1">
      <c r="A185" s="1708"/>
      <c r="B185" s="293" t="s">
        <v>1686</v>
      </c>
      <c r="C185" s="2136"/>
      <c r="D185" s="1919"/>
      <c r="E185" s="1975"/>
      <c r="F185" s="1975"/>
      <c r="G185" s="329"/>
      <c r="H185" s="324" t="s">
        <v>1582</v>
      </c>
      <c r="I185" s="270"/>
      <c r="J185" s="330"/>
      <c r="K185" s="118"/>
      <c r="L185" s="263"/>
      <c r="M185" s="256"/>
      <c r="N185" s="1549"/>
      <c r="O185" s="1549"/>
    </row>
    <row r="186" spans="1:15" s="1560" customFormat="1" ht="18.75" hidden="1" customHeight="1">
      <c r="A186" s="1708" t="s">
        <v>181</v>
      </c>
      <c r="B186" s="293"/>
      <c r="C186" s="2136"/>
      <c r="D186" s="1919"/>
      <c r="E186" s="1975" t="str">
        <f>INDEX(PT_DIFFERENTIATION_VTAR,MATCH(A186,PT_DIFFERENTIATION_VTAR_ID,0))</f>
        <v>Тарифы на услуги по передаче теплоносителя</v>
      </c>
      <c r="F186" s="1975" t="str">
        <f>INDEX(PT_DIFFERENTIATION_VDET,MATCH(A186,PT_DIFFERENTIATION_VTAR_ID,0))</f>
        <v/>
      </c>
      <c r="G186" s="1694"/>
      <c r="H186" s="1663"/>
      <c r="I186" s="1701"/>
      <c r="J186" s="1706"/>
      <c r="K186" s="1693" t="s">
        <v>288</v>
      </c>
      <c r="L186" s="263"/>
      <c r="M186" s="256"/>
      <c r="N186" s="1549"/>
      <c r="O186" s="1549"/>
    </row>
    <row r="187" spans="1:15" s="1560" customFormat="1" ht="18.75" hidden="1" customHeight="1">
      <c r="A187" s="1708"/>
      <c r="B187" s="293" t="s">
        <v>1686</v>
      </c>
      <c r="C187" s="2136"/>
      <c r="D187" s="1919"/>
      <c r="E187" s="1975"/>
      <c r="F187" s="1975"/>
      <c r="G187" s="329"/>
      <c r="H187" s="324" t="s">
        <v>1582</v>
      </c>
      <c r="I187" s="270"/>
      <c r="J187" s="330"/>
      <c r="K187" s="118"/>
      <c r="L187" s="263"/>
      <c r="M187" s="256"/>
      <c r="N187" s="1549"/>
      <c r="O187" s="1549"/>
    </row>
    <row r="188" spans="1:15" s="1560" customFormat="1" ht="18.75" hidden="1" customHeight="1">
      <c r="A188" s="1708" t="s">
        <v>187</v>
      </c>
      <c r="B188" s="293"/>
      <c r="C188" s="2136"/>
      <c r="D188" s="1919"/>
      <c r="E188" s="1975" t="str">
        <f>INDEX(PT_DIFFERENTIATION_VTAR,MATCH(A188,PT_DIFFERENTIATION_VTAR_ID,0))</f>
        <v>Плата за услуги по поддержанию резервной тепловой мощности при отсутствии потребления тепловой энергии</v>
      </c>
      <c r="F188" s="1975" t="str">
        <f>INDEX(PT_DIFFERENTIATION_VDET,MATCH(A188,PT_DIFFERENTIATION_VTAR_ID,0))</f>
        <v/>
      </c>
      <c r="G188" s="1694"/>
      <c r="H188" s="1663"/>
      <c r="I188" s="1701"/>
      <c r="J188" s="1706"/>
      <c r="K188" s="1693" t="s">
        <v>288</v>
      </c>
      <c r="L188" s="263"/>
      <c r="M188" s="256"/>
      <c r="N188" s="1549"/>
      <c r="O188" s="1549"/>
    </row>
    <row r="189" spans="1:15" s="1560" customFormat="1" ht="18.75" hidden="1" customHeight="1">
      <c r="A189" s="1708"/>
      <c r="B189" s="293" t="s">
        <v>1686</v>
      </c>
      <c r="C189" s="2136"/>
      <c r="D189" s="1919"/>
      <c r="E189" s="1975"/>
      <c r="F189" s="1975"/>
      <c r="G189" s="329"/>
      <c r="H189" s="324" t="s">
        <v>1582</v>
      </c>
      <c r="I189" s="270"/>
      <c r="J189" s="330"/>
      <c r="K189" s="118"/>
      <c r="L189" s="263"/>
      <c r="M189" s="256"/>
      <c r="N189" s="1549"/>
      <c r="O189" s="1549"/>
    </row>
    <row r="190" spans="1:15" s="1560" customFormat="1" ht="18.75" hidden="1" customHeight="1">
      <c r="A190" s="1708" t="s">
        <v>193</v>
      </c>
      <c r="B190" s="293"/>
      <c r="C190" s="2136"/>
      <c r="D190" s="1919"/>
      <c r="E190" s="1975" t="str">
        <f>INDEX(PT_DIFFERENTIATION_VTAR,MATCH(A190,PT_DIFFERENTIATION_VTAR_ID,0))</f>
        <v>Плата за подключение (технологическое присоединение) к системе теплоснабжения</v>
      </c>
      <c r="F190" s="1975" t="str">
        <f>INDEX(PT_DIFFERENTIATION_VDET,MATCH(A190,PT_DIFFERENTIATION_VTAR_ID,0))</f>
        <v/>
      </c>
      <c r="G190" s="1694"/>
      <c r="H190" s="1663"/>
      <c r="I190" s="1701"/>
      <c r="J190" s="1706"/>
      <c r="K190" s="1693" t="s">
        <v>288</v>
      </c>
      <c r="L190" s="263"/>
      <c r="M190" s="256"/>
      <c r="N190" s="1549"/>
      <c r="O190" s="1549"/>
    </row>
    <row r="191" spans="1:15" s="1560" customFormat="1" ht="18.75" hidden="1" customHeight="1">
      <c r="A191" s="1708"/>
      <c r="B191" s="293" t="s">
        <v>1686</v>
      </c>
      <c r="C191" s="2136"/>
      <c r="D191" s="1919"/>
      <c r="E191" s="1975"/>
      <c r="F191" s="1975"/>
      <c r="G191" s="329"/>
      <c r="H191" s="324" t="s">
        <v>1582</v>
      </c>
      <c r="I191" s="270"/>
      <c r="J191" s="330"/>
      <c r="K191" s="118"/>
      <c r="L191" s="263"/>
      <c r="M191" s="256"/>
      <c r="N191" s="1549"/>
      <c r="O191" s="1549"/>
    </row>
    <row r="192" spans="1:15" s="1560" customFormat="1" ht="18.75" hidden="1" customHeight="1">
      <c r="A192" s="1708" t="s">
        <v>207</v>
      </c>
      <c r="B192" s="293"/>
      <c r="C192" s="2136"/>
      <c r="D192" s="1919"/>
      <c r="E192" s="1975" t="str">
        <f>INDEX(PT_DIFFERENTIATION_VTAR,MATCH(A192,PT_DIFFERENTIATION_VTAR_ID,0))</f>
        <v>Тариф на питьевую воду (питьевое водоснабжение)</v>
      </c>
      <c r="F192" s="1975" t="str">
        <f>INDEX(PT_DIFFERENTIATION_VDET,MATCH(A192,PT_DIFFERENTIATION_VTAR_ID,0))</f>
        <v/>
      </c>
      <c r="G192" s="1694"/>
      <c r="H192" s="1663"/>
      <c r="I192" s="1701"/>
      <c r="J192" s="1706"/>
      <c r="K192" s="1693" t="s">
        <v>288</v>
      </c>
      <c r="L192" s="263"/>
      <c r="M192" s="256"/>
      <c r="N192" s="1549"/>
      <c r="O192" s="1549"/>
    </row>
    <row r="193" spans="1:15" s="1560" customFormat="1" ht="18.75" hidden="1" customHeight="1">
      <c r="A193" s="1708"/>
      <c r="B193" s="293" t="s">
        <v>1686</v>
      </c>
      <c r="C193" s="2136"/>
      <c r="D193" s="1919"/>
      <c r="E193" s="1975"/>
      <c r="F193" s="1975"/>
      <c r="G193" s="329"/>
      <c r="H193" s="324" t="s">
        <v>1582</v>
      </c>
      <c r="I193" s="270"/>
      <c r="J193" s="330"/>
      <c r="K193" s="118"/>
      <c r="L193" s="263"/>
      <c r="M193" s="256"/>
      <c r="N193" s="1549"/>
      <c r="O193" s="1549"/>
    </row>
    <row r="194" spans="1:15" s="1560" customFormat="1" ht="18.75" hidden="1" customHeight="1">
      <c r="A194" s="1708" t="s">
        <v>212</v>
      </c>
      <c r="B194" s="293"/>
      <c r="C194" s="2136"/>
      <c r="D194" s="1919"/>
      <c r="E194" s="1975" t="str">
        <f>INDEX(PT_DIFFERENTIATION_VTAR,MATCH(A194,PT_DIFFERENTIATION_VTAR_ID,0))</f>
        <v>Тариф на техническую воду</v>
      </c>
      <c r="F194" s="1975" t="str">
        <f>INDEX(PT_DIFFERENTIATION_VDET,MATCH(A194,PT_DIFFERENTIATION_VTAR_ID,0))</f>
        <v/>
      </c>
      <c r="G194" s="1694"/>
      <c r="H194" s="1663"/>
      <c r="I194" s="1701"/>
      <c r="J194" s="1706"/>
      <c r="K194" s="1693" t="s">
        <v>288</v>
      </c>
      <c r="L194" s="263"/>
      <c r="M194" s="256"/>
      <c r="N194" s="1549"/>
      <c r="O194" s="1549"/>
    </row>
    <row r="195" spans="1:15" s="1560" customFormat="1" ht="18.75" hidden="1" customHeight="1">
      <c r="A195" s="1708"/>
      <c r="B195" s="293" t="s">
        <v>1686</v>
      </c>
      <c r="C195" s="2136"/>
      <c r="D195" s="1919"/>
      <c r="E195" s="1975"/>
      <c r="F195" s="1975"/>
      <c r="G195" s="329"/>
      <c r="H195" s="324" t="s">
        <v>1582</v>
      </c>
      <c r="I195" s="270"/>
      <c r="J195" s="330"/>
      <c r="K195" s="118"/>
      <c r="L195" s="263"/>
      <c r="M195" s="256"/>
      <c r="N195" s="1549"/>
      <c r="O195" s="1549"/>
    </row>
    <row r="196" spans="1:15" s="1560" customFormat="1" ht="18.75" hidden="1" customHeight="1">
      <c r="A196" s="1708" t="s">
        <v>217</v>
      </c>
      <c r="B196" s="293"/>
      <c r="C196" s="2136"/>
      <c r="D196" s="1919"/>
      <c r="E196" s="1975" t="str">
        <f>INDEX(PT_DIFFERENTIATION_VTAR,MATCH(A196,PT_DIFFERENTIATION_VTAR_ID,0))</f>
        <v>Тариф на транспортировку воды</v>
      </c>
      <c r="F196" s="1975" t="str">
        <f>INDEX(PT_DIFFERENTIATION_VDET,MATCH(A196,PT_DIFFERENTIATION_VTAR_ID,0))</f>
        <v/>
      </c>
      <c r="G196" s="1694"/>
      <c r="H196" s="1663"/>
      <c r="I196" s="1701"/>
      <c r="J196" s="1706"/>
      <c r="K196" s="1693" t="s">
        <v>288</v>
      </c>
      <c r="L196" s="263"/>
      <c r="M196" s="256"/>
      <c r="N196" s="1549"/>
      <c r="O196" s="1549"/>
    </row>
    <row r="197" spans="1:15" s="1560" customFormat="1" ht="18.75" hidden="1" customHeight="1">
      <c r="A197" s="1708"/>
      <c r="B197" s="293" t="s">
        <v>1686</v>
      </c>
      <c r="C197" s="2136"/>
      <c r="D197" s="1919"/>
      <c r="E197" s="1975"/>
      <c r="F197" s="1975"/>
      <c r="G197" s="329"/>
      <c r="H197" s="324" t="s">
        <v>1582</v>
      </c>
      <c r="I197" s="270"/>
      <c r="J197" s="330"/>
      <c r="K197" s="118"/>
      <c r="L197" s="263"/>
      <c r="M197" s="256"/>
      <c r="N197" s="1549"/>
      <c r="O197" s="1549"/>
    </row>
    <row r="198" spans="1:15" s="1560" customFormat="1" ht="18.75" hidden="1" customHeight="1">
      <c r="A198" s="1708" t="s">
        <v>222</v>
      </c>
      <c r="B198" s="293"/>
      <c r="C198" s="2136"/>
      <c r="D198" s="1919"/>
      <c r="E198" s="1975" t="str">
        <f>INDEX(PT_DIFFERENTIATION_VTAR,MATCH(A198,PT_DIFFERENTIATION_VTAR_ID,0))</f>
        <v>Тариф на подвоз воды</v>
      </c>
      <c r="F198" s="1975" t="str">
        <f>INDEX(PT_DIFFERENTIATION_VDET,MATCH(A198,PT_DIFFERENTIATION_VTAR_ID,0))</f>
        <v/>
      </c>
      <c r="G198" s="1694"/>
      <c r="H198" s="1663"/>
      <c r="I198" s="1701"/>
      <c r="J198" s="1706"/>
      <c r="K198" s="1693" t="s">
        <v>288</v>
      </c>
      <c r="L198" s="263"/>
      <c r="M198" s="256"/>
      <c r="N198" s="1549"/>
      <c r="O198" s="1549"/>
    </row>
    <row r="199" spans="1:15" s="1560" customFormat="1" ht="18.75" hidden="1" customHeight="1">
      <c r="A199" s="1708"/>
      <c r="B199" s="293" t="s">
        <v>1686</v>
      </c>
      <c r="C199" s="2136"/>
      <c r="D199" s="1919"/>
      <c r="E199" s="1975"/>
      <c r="F199" s="1975"/>
      <c r="G199" s="329"/>
      <c r="H199" s="324" t="s">
        <v>1582</v>
      </c>
      <c r="I199" s="270"/>
      <c r="J199" s="330"/>
      <c r="K199" s="118"/>
      <c r="L199" s="263"/>
      <c r="M199" s="256"/>
      <c r="N199" s="1549"/>
      <c r="O199" s="1549"/>
    </row>
    <row r="200" spans="1:15" s="1560" customFormat="1" ht="18.75" hidden="1" customHeight="1">
      <c r="A200" s="1708" t="s">
        <v>227</v>
      </c>
      <c r="B200" s="293"/>
      <c r="C200" s="2136"/>
      <c r="D200" s="1919"/>
      <c r="E200" s="1975" t="str">
        <f>INDEX(PT_DIFFERENTIATION_VTAR,MATCH(A200,PT_DIFFERENTIATION_VTAR_ID,0))</f>
        <v>Тариф на подключение (технологическое присоединение) к централизованной системе холодного водоснабжения</v>
      </c>
      <c r="F200" s="1975" t="str">
        <f>INDEX(PT_DIFFERENTIATION_VDET,MATCH(A200,PT_DIFFERENTIATION_VTAR_ID,0))</f>
        <v/>
      </c>
      <c r="G200" s="1694"/>
      <c r="H200" s="1663"/>
      <c r="I200" s="1701"/>
      <c r="J200" s="1706"/>
      <c r="K200" s="1693" t="s">
        <v>288</v>
      </c>
      <c r="L200" s="263"/>
      <c r="M200" s="256"/>
      <c r="N200" s="1549"/>
      <c r="O200" s="1549"/>
    </row>
    <row r="201" spans="1:15" s="1560" customFormat="1" ht="18.75" hidden="1" customHeight="1">
      <c r="A201" s="1708"/>
      <c r="B201" s="293" t="s">
        <v>1686</v>
      </c>
      <c r="C201" s="2136"/>
      <c r="D201" s="1919"/>
      <c r="E201" s="1975"/>
      <c r="F201" s="1975"/>
      <c r="G201" s="329"/>
      <c r="H201" s="324" t="s">
        <v>1582</v>
      </c>
      <c r="I201" s="270"/>
      <c r="J201" s="330"/>
      <c r="K201" s="118"/>
      <c r="L201" s="263"/>
      <c r="M201" s="256"/>
      <c r="N201" s="1549"/>
      <c r="O201" s="1549"/>
    </row>
    <row r="202" spans="1:15" s="1560" customFormat="1" ht="18.75" hidden="1" customHeight="1">
      <c r="A202" s="1708" t="s">
        <v>232</v>
      </c>
      <c r="B202" s="293"/>
      <c r="C202" s="2136"/>
      <c r="D202" s="1919"/>
      <c r="E202" s="1975" t="str">
        <f>INDEX(PT_DIFFERENTIATION_VTAR,MATCH(A202,PT_DIFFERENTIATION_VTAR_ID,0))</f>
        <v>Тариф на горячую воду (горячее водоснабжение)</v>
      </c>
      <c r="F202" s="1975" t="str">
        <f>INDEX(PT_DIFFERENTIATION_VDET,MATCH(A202,PT_DIFFERENTIATION_VTAR_ID,0))</f>
        <v/>
      </c>
      <c r="G202" s="1694"/>
      <c r="H202" s="1663"/>
      <c r="I202" s="1701"/>
      <c r="J202" s="1706"/>
      <c r="K202" s="1693" t="s">
        <v>288</v>
      </c>
      <c r="L202" s="263"/>
      <c r="M202" s="256"/>
      <c r="N202" s="1549"/>
      <c r="O202" s="1549"/>
    </row>
    <row r="203" spans="1:15" s="1560" customFormat="1" ht="18.75" hidden="1" customHeight="1">
      <c r="A203" s="1708"/>
      <c r="B203" s="293" t="s">
        <v>1686</v>
      </c>
      <c r="C203" s="2136"/>
      <c r="D203" s="1919"/>
      <c r="E203" s="1975"/>
      <c r="F203" s="1975"/>
      <c r="G203" s="329"/>
      <c r="H203" s="324" t="s">
        <v>1582</v>
      </c>
      <c r="I203" s="270"/>
      <c r="J203" s="330"/>
      <c r="K203" s="118"/>
      <c r="L203" s="263"/>
      <c r="M203" s="256"/>
      <c r="N203" s="1549"/>
      <c r="O203" s="1549"/>
    </row>
    <row r="204" spans="1:15" s="1560" customFormat="1" ht="18.75" hidden="1" customHeight="1">
      <c r="A204" s="1708" t="s">
        <v>237</v>
      </c>
      <c r="B204" s="293"/>
      <c r="C204" s="2136"/>
      <c r="D204" s="1919"/>
      <c r="E204" s="1975" t="str">
        <f>INDEX(PT_DIFFERENTIATION_VTAR,MATCH(A204,PT_DIFFERENTIATION_VTAR_ID,0))</f>
        <v>Тариф на транспортировку горячей воды</v>
      </c>
      <c r="F204" s="1975" t="str">
        <f>INDEX(PT_DIFFERENTIATION_VDET,MATCH(A204,PT_DIFFERENTIATION_VTAR_ID,0))</f>
        <v/>
      </c>
      <c r="G204" s="1694"/>
      <c r="H204" s="1663"/>
      <c r="I204" s="1701"/>
      <c r="J204" s="1706"/>
      <c r="K204" s="1693" t="s">
        <v>288</v>
      </c>
      <c r="L204" s="263"/>
      <c r="M204" s="256"/>
      <c r="N204" s="1549"/>
      <c r="O204" s="1549"/>
    </row>
    <row r="205" spans="1:15" s="1560" customFormat="1" ht="18.75" hidden="1" customHeight="1">
      <c r="A205" s="1708"/>
      <c r="B205" s="293" t="s">
        <v>1686</v>
      </c>
      <c r="C205" s="2136"/>
      <c r="D205" s="1919"/>
      <c r="E205" s="1975"/>
      <c r="F205" s="1975"/>
      <c r="G205" s="329"/>
      <c r="H205" s="324" t="s">
        <v>1582</v>
      </c>
      <c r="I205" s="270"/>
      <c r="J205" s="330"/>
      <c r="K205" s="118"/>
      <c r="L205" s="263"/>
      <c r="M205" s="256"/>
      <c r="N205" s="1549"/>
      <c r="O205" s="1549"/>
    </row>
    <row r="206" spans="1:15" s="1560" customFormat="1" ht="18.75" hidden="1" customHeight="1">
      <c r="A206" s="1708" t="s">
        <v>242</v>
      </c>
      <c r="B206" s="293"/>
      <c r="C206" s="2136"/>
      <c r="D206" s="1919"/>
      <c r="E206" s="1975" t="str">
        <f>INDEX(PT_DIFFERENTIATION_VTAR,MATCH(A206,PT_DIFFERENTIATION_VTAR_ID,0))</f>
        <v>Тариф на подключение (технологическое присоединение) к централизованной системе горячего водоснабжения</v>
      </c>
      <c r="F206" s="1975" t="str">
        <f>INDEX(PT_DIFFERENTIATION_VDET,MATCH(A206,PT_DIFFERENTIATION_VTAR_ID,0))</f>
        <v/>
      </c>
      <c r="G206" s="1694"/>
      <c r="H206" s="1663"/>
      <c r="I206" s="1701"/>
      <c r="J206" s="1706"/>
      <c r="K206" s="1693" t="s">
        <v>288</v>
      </c>
      <c r="L206" s="263"/>
      <c r="M206" s="256"/>
      <c r="N206" s="1549"/>
      <c r="O206" s="1549"/>
    </row>
    <row r="207" spans="1:15" s="1560" customFormat="1" ht="18.75" hidden="1" customHeight="1">
      <c r="A207" s="1708"/>
      <c r="B207" s="293" t="s">
        <v>1686</v>
      </c>
      <c r="C207" s="2136"/>
      <c r="D207" s="1919"/>
      <c r="E207" s="1975"/>
      <c r="F207" s="1975"/>
      <c r="G207" s="329"/>
      <c r="H207" s="324" t="s">
        <v>1582</v>
      </c>
      <c r="I207" s="270"/>
      <c r="J207" s="330"/>
      <c r="K207" s="118"/>
      <c r="L207" s="263"/>
      <c r="M207" s="256"/>
      <c r="N207" s="1549"/>
      <c r="O207" s="1549"/>
    </row>
    <row r="208" spans="1:15" s="1560" customFormat="1" ht="18.75" hidden="1" customHeight="1">
      <c r="A208" s="1708" t="s">
        <v>247</v>
      </c>
      <c r="B208" s="293"/>
      <c r="C208" s="2136"/>
      <c r="D208" s="1919"/>
      <c r="E208" s="1975" t="str">
        <f>INDEX(PT_DIFFERENTIATION_VTAR,MATCH(A208,PT_DIFFERENTIATION_VTAR_ID,0))</f>
        <v>Тариф на водоотведение</v>
      </c>
      <c r="F208" s="1975" t="str">
        <f>INDEX(PT_DIFFERENTIATION_VDET,MATCH(A208,PT_DIFFERENTIATION_VTAR_ID,0))</f>
        <v/>
      </c>
      <c r="G208" s="1694"/>
      <c r="H208" s="1663"/>
      <c r="I208" s="1701"/>
      <c r="J208" s="1706"/>
      <c r="K208" s="1693" t="s">
        <v>288</v>
      </c>
      <c r="L208" s="263"/>
      <c r="M208" s="256"/>
      <c r="N208" s="1549"/>
      <c r="O208" s="1549"/>
    </row>
    <row r="209" spans="1:15" s="1560" customFormat="1" ht="18.75" hidden="1" customHeight="1">
      <c r="A209" s="1708"/>
      <c r="B209" s="293" t="s">
        <v>1686</v>
      </c>
      <c r="C209" s="2136"/>
      <c r="D209" s="1919"/>
      <c r="E209" s="1975"/>
      <c r="F209" s="1975"/>
      <c r="G209" s="329"/>
      <c r="H209" s="324" t="s">
        <v>1582</v>
      </c>
      <c r="I209" s="270"/>
      <c r="J209" s="330"/>
      <c r="K209" s="118"/>
      <c r="L209" s="263"/>
      <c r="M209" s="256"/>
      <c r="N209" s="1549"/>
      <c r="O209" s="1549"/>
    </row>
    <row r="210" spans="1:15" s="1560" customFormat="1" ht="18.75" hidden="1" customHeight="1">
      <c r="A210" s="1708" t="s">
        <v>252</v>
      </c>
      <c r="B210" s="293"/>
      <c r="C210" s="2136"/>
      <c r="D210" s="1919"/>
      <c r="E210" s="1975" t="str">
        <f>INDEX(PT_DIFFERENTIATION_VTAR,MATCH(A210,PT_DIFFERENTIATION_VTAR_ID,0))</f>
        <v>Тариф на транспортировку сточных вод</v>
      </c>
      <c r="F210" s="1975" t="str">
        <f>INDEX(PT_DIFFERENTIATION_VDET,MATCH(A210,PT_DIFFERENTIATION_VTAR_ID,0))</f>
        <v/>
      </c>
      <c r="G210" s="1694"/>
      <c r="H210" s="1663"/>
      <c r="I210" s="1701"/>
      <c r="J210" s="1706"/>
      <c r="K210" s="1693" t="s">
        <v>288</v>
      </c>
      <c r="L210" s="263"/>
      <c r="M210" s="256"/>
      <c r="N210" s="1549"/>
      <c r="O210" s="1549"/>
    </row>
    <row r="211" spans="1:15" s="1560" customFormat="1" ht="18.75" hidden="1" customHeight="1">
      <c r="A211" s="1708"/>
      <c r="B211" s="293" t="s">
        <v>1686</v>
      </c>
      <c r="C211" s="2136"/>
      <c r="D211" s="1919"/>
      <c r="E211" s="1975"/>
      <c r="F211" s="1975"/>
      <c r="G211" s="329"/>
      <c r="H211" s="324" t="s">
        <v>1582</v>
      </c>
      <c r="I211" s="270"/>
      <c r="J211" s="330"/>
      <c r="K211" s="118"/>
      <c r="L211" s="263"/>
      <c r="M211" s="256"/>
      <c r="N211" s="1549"/>
      <c r="O211" s="1549"/>
    </row>
    <row r="212" spans="1:15" s="1560" customFormat="1" ht="18.75" hidden="1" customHeight="1">
      <c r="A212" s="1708" t="s">
        <v>257</v>
      </c>
      <c r="B212" s="293"/>
      <c r="C212" s="2136"/>
      <c r="D212" s="1919"/>
      <c r="E212" s="1975" t="str">
        <f>INDEX(PT_DIFFERENTIATION_VTAR,MATCH(A212,PT_DIFFERENTIATION_VTAR_ID,0))</f>
        <v>Тариф на подключение (технологическое присоединение) к централизованной системе водоотведения</v>
      </c>
      <c r="F212" s="1975" t="str">
        <f>INDEX(PT_DIFFERENTIATION_VDET,MATCH(A212,PT_DIFFERENTIATION_VTAR_ID,0))</f>
        <v/>
      </c>
      <c r="G212" s="1694"/>
      <c r="H212" s="1663"/>
      <c r="I212" s="1701"/>
      <c r="J212" s="1706"/>
      <c r="K212" s="1693" t="s">
        <v>288</v>
      </c>
      <c r="L212" s="263"/>
      <c r="M212" s="256"/>
      <c r="N212" s="1549"/>
      <c r="O212" s="1549"/>
    </row>
    <row r="213" spans="1:15" s="1560" customFormat="1" ht="18.75" hidden="1" customHeight="1">
      <c r="A213" s="1708"/>
      <c r="B213" s="293" t="s">
        <v>1686</v>
      </c>
      <c r="C213" s="2136"/>
      <c r="D213" s="1919"/>
      <c r="E213" s="1975"/>
      <c r="F213" s="1975"/>
      <c r="G213" s="329"/>
      <c r="H213" s="324" t="s">
        <v>1582</v>
      </c>
      <c r="I213" s="270"/>
      <c r="J213" s="330"/>
      <c r="K213" s="118"/>
      <c r="L213" s="263"/>
      <c r="M213" s="256"/>
      <c r="N213" s="1549"/>
      <c r="O213" s="1549"/>
    </row>
    <row r="214" spans="1:15" s="1751" customFormat="1" ht="3" customHeight="1">
      <c r="A214" s="1708"/>
      <c r="B214" s="1709"/>
      <c r="D214" s="332"/>
      <c r="E214" s="332"/>
      <c r="F214" s="332"/>
      <c r="G214" s="332"/>
      <c r="H214" s="332"/>
      <c r="I214" s="332"/>
      <c r="J214" s="332"/>
      <c r="K214" s="332"/>
      <c r="L214" s="332"/>
      <c r="N214" s="113"/>
      <c r="O214" s="113"/>
    </row>
    <row r="215" spans="1:15" ht="24.75" customHeight="1">
      <c r="D215" s="119"/>
      <c r="E215" s="2041"/>
      <c r="F215" s="2041"/>
      <c r="G215" s="2041"/>
      <c r="H215" s="2041"/>
      <c r="I215" s="2041"/>
      <c r="J215" s="2041"/>
      <c r="K215" s="2041"/>
      <c r="L215" s="2041"/>
    </row>
  </sheetData>
  <sheetProtection formatColumns="0" formatRows="0" insertRows="0" deleteColumns="0" deleteRows="0" sort="0" autoFilter="0"/>
  <mergeCells count="406">
    <mergeCell ref="C212:C213"/>
    <mergeCell ref="D212:D213"/>
    <mergeCell ref="E212:E213"/>
    <mergeCell ref="F212:F213"/>
    <mergeCell ref="L176:L178"/>
    <mergeCell ref="C208:C209"/>
    <mergeCell ref="D208:D209"/>
    <mergeCell ref="E208:E209"/>
    <mergeCell ref="F208:F209"/>
    <mergeCell ref="C210:C211"/>
    <mergeCell ref="D210:D211"/>
    <mergeCell ref="E210:E211"/>
    <mergeCell ref="F210:F211"/>
    <mergeCell ref="C204:C205"/>
    <mergeCell ref="D204:D205"/>
    <mergeCell ref="E204:E205"/>
    <mergeCell ref="F204:F205"/>
    <mergeCell ref="C206:C207"/>
    <mergeCell ref="D206:D207"/>
    <mergeCell ref="E206:E207"/>
    <mergeCell ref="F206:F207"/>
    <mergeCell ref="C200:C201"/>
    <mergeCell ref="D200:D201"/>
    <mergeCell ref="E200:E201"/>
    <mergeCell ref="F200:F201"/>
    <mergeCell ref="C202:C203"/>
    <mergeCell ref="D202:D203"/>
    <mergeCell ref="E202:E203"/>
    <mergeCell ref="F202:F203"/>
    <mergeCell ref="C196:C197"/>
    <mergeCell ref="D196:D197"/>
    <mergeCell ref="E196:E197"/>
    <mergeCell ref="F196:F197"/>
    <mergeCell ref="C198:C199"/>
    <mergeCell ref="D198:D199"/>
    <mergeCell ref="E198:E199"/>
    <mergeCell ref="F198:F199"/>
    <mergeCell ref="E182:E183"/>
    <mergeCell ref="F182:F183"/>
    <mergeCell ref="C192:C193"/>
    <mergeCell ref="D192:D193"/>
    <mergeCell ref="E192:E193"/>
    <mergeCell ref="F192:F193"/>
    <mergeCell ref="C194:C195"/>
    <mergeCell ref="D194:D195"/>
    <mergeCell ref="E194:E195"/>
    <mergeCell ref="F194:F195"/>
    <mergeCell ref="C188:C189"/>
    <mergeCell ref="D188:D189"/>
    <mergeCell ref="E188:E189"/>
    <mergeCell ref="F188:F189"/>
    <mergeCell ref="C190:C191"/>
    <mergeCell ref="D190:D191"/>
    <mergeCell ref="E190:E191"/>
    <mergeCell ref="F190:F191"/>
    <mergeCell ref="C171:C172"/>
    <mergeCell ref="D171:D172"/>
    <mergeCell ref="E171:E172"/>
    <mergeCell ref="F171:F172"/>
    <mergeCell ref="C173:C174"/>
    <mergeCell ref="D173:D174"/>
    <mergeCell ref="E173:E174"/>
    <mergeCell ref="F173:F174"/>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43:C144"/>
    <mergeCell ref="D143:D144"/>
    <mergeCell ref="E143:E144"/>
    <mergeCell ref="F143:F144"/>
    <mergeCell ref="C145:C146"/>
    <mergeCell ref="D145:D146"/>
    <mergeCell ref="E145:E146"/>
    <mergeCell ref="F145:F146"/>
    <mergeCell ref="C139:C140"/>
    <mergeCell ref="D139:D140"/>
    <mergeCell ref="E139:E140"/>
    <mergeCell ref="F139:F140"/>
    <mergeCell ref="C141:C142"/>
    <mergeCell ref="D141:D142"/>
    <mergeCell ref="E141:E142"/>
    <mergeCell ref="F141:F142"/>
    <mergeCell ref="C134:C135"/>
    <mergeCell ref="D134:D135"/>
    <mergeCell ref="E134:E135"/>
    <mergeCell ref="F134:F135"/>
    <mergeCell ref="C137:C138"/>
    <mergeCell ref="D137:D138"/>
    <mergeCell ref="E137:E138"/>
    <mergeCell ref="F137:F138"/>
    <mergeCell ref="C130:C131"/>
    <mergeCell ref="D130:D131"/>
    <mergeCell ref="E130:E131"/>
    <mergeCell ref="F130:F131"/>
    <mergeCell ref="C132:C133"/>
    <mergeCell ref="D132:D133"/>
    <mergeCell ref="E132:E133"/>
    <mergeCell ref="F132:F133"/>
    <mergeCell ref="C126:C127"/>
    <mergeCell ref="D126:D127"/>
    <mergeCell ref="E126:E127"/>
    <mergeCell ref="F126:F127"/>
    <mergeCell ref="C128:C129"/>
    <mergeCell ref="D128:D129"/>
    <mergeCell ref="E128:E129"/>
    <mergeCell ref="F128:F129"/>
    <mergeCell ref="C122:C123"/>
    <mergeCell ref="D122:D123"/>
    <mergeCell ref="E122:E123"/>
    <mergeCell ref="F122:F123"/>
    <mergeCell ref="C124:C125"/>
    <mergeCell ref="D124:D125"/>
    <mergeCell ref="E124:E125"/>
    <mergeCell ref="F124:F125"/>
    <mergeCell ref="C118:C119"/>
    <mergeCell ref="D118:D119"/>
    <mergeCell ref="E118:E119"/>
    <mergeCell ref="F118:F119"/>
    <mergeCell ref="C120:C121"/>
    <mergeCell ref="D120:D121"/>
    <mergeCell ref="E120:E121"/>
    <mergeCell ref="F120:F121"/>
    <mergeCell ref="C114:C115"/>
    <mergeCell ref="D114:D115"/>
    <mergeCell ref="E114:E115"/>
    <mergeCell ref="F114:F115"/>
    <mergeCell ref="C116:C117"/>
    <mergeCell ref="D116:D117"/>
    <mergeCell ref="E116:E117"/>
    <mergeCell ref="F116:F117"/>
    <mergeCell ref="C110:C111"/>
    <mergeCell ref="D110:D111"/>
    <mergeCell ref="E110:E111"/>
    <mergeCell ref="F110:F111"/>
    <mergeCell ref="C112:C113"/>
    <mergeCell ref="D112:D113"/>
    <mergeCell ref="E112:E113"/>
    <mergeCell ref="F112:F113"/>
    <mergeCell ref="C106:C107"/>
    <mergeCell ref="D106:D107"/>
    <mergeCell ref="E106:E107"/>
    <mergeCell ref="F106:F107"/>
    <mergeCell ref="C108:C109"/>
    <mergeCell ref="D108:D109"/>
    <mergeCell ref="E108:E109"/>
    <mergeCell ref="F108:F109"/>
    <mergeCell ref="C102:C103"/>
    <mergeCell ref="D102:D103"/>
    <mergeCell ref="E102:E103"/>
    <mergeCell ref="F102:F103"/>
    <mergeCell ref="C104:C105"/>
    <mergeCell ref="D104:D105"/>
    <mergeCell ref="E104:E105"/>
    <mergeCell ref="F104:F105"/>
    <mergeCell ref="F98:F99"/>
    <mergeCell ref="C100:C101"/>
    <mergeCell ref="D100:D101"/>
    <mergeCell ref="E100:E101"/>
    <mergeCell ref="F100:F101"/>
    <mergeCell ref="C93:C94"/>
    <mergeCell ref="D93:D94"/>
    <mergeCell ref="E93:E94"/>
    <mergeCell ref="F93:F94"/>
    <mergeCell ref="C95:C96"/>
    <mergeCell ref="D95:D96"/>
    <mergeCell ref="E95:E96"/>
    <mergeCell ref="F95:F96"/>
    <mergeCell ref="C98:C99"/>
    <mergeCell ref="D98:D99"/>
    <mergeCell ref="E98:E99"/>
    <mergeCell ref="C89:C90"/>
    <mergeCell ref="D89:D90"/>
    <mergeCell ref="E89:E90"/>
    <mergeCell ref="F89:F90"/>
    <mergeCell ref="C91:C92"/>
    <mergeCell ref="D91:D92"/>
    <mergeCell ref="E91:E92"/>
    <mergeCell ref="F91:F92"/>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69:C70"/>
    <mergeCell ref="D69:D70"/>
    <mergeCell ref="E69:E70"/>
    <mergeCell ref="F69:F70"/>
    <mergeCell ref="C71:C72"/>
    <mergeCell ref="D71:D72"/>
    <mergeCell ref="E71:E72"/>
    <mergeCell ref="F71:F72"/>
    <mergeCell ref="F46:F47"/>
    <mergeCell ref="C48:C49"/>
    <mergeCell ref="D48:D49"/>
    <mergeCell ref="E48:E49"/>
    <mergeCell ref="F48:F49"/>
    <mergeCell ref="E65:E66"/>
    <mergeCell ref="F65:F66"/>
    <mergeCell ref="C67:C68"/>
    <mergeCell ref="D67:D68"/>
    <mergeCell ref="E67:E68"/>
    <mergeCell ref="F67:F68"/>
    <mergeCell ref="C54:C55"/>
    <mergeCell ref="D54:D55"/>
    <mergeCell ref="E54:E55"/>
    <mergeCell ref="F54:F55"/>
    <mergeCell ref="C59:C60"/>
    <mergeCell ref="D59:D60"/>
    <mergeCell ref="E59:E60"/>
    <mergeCell ref="F59:F60"/>
    <mergeCell ref="C65:C66"/>
    <mergeCell ref="D65:D66"/>
    <mergeCell ref="E56:K56"/>
    <mergeCell ref="G57:H57"/>
    <mergeCell ref="E58:K58"/>
    <mergeCell ref="C32:C33"/>
    <mergeCell ref="D32:D33"/>
    <mergeCell ref="E32:E33"/>
    <mergeCell ref="F32:F33"/>
    <mergeCell ref="C42:C43"/>
    <mergeCell ref="D42:D43"/>
    <mergeCell ref="E42:E43"/>
    <mergeCell ref="F42:F43"/>
    <mergeCell ref="C44:C45"/>
    <mergeCell ref="D44:D45"/>
    <mergeCell ref="E44:E45"/>
    <mergeCell ref="F44:F45"/>
    <mergeCell ref="C38:C39"/>
    <mergeCell ref="D38:D39"/>
    <mergeCell ref="E38:E39"/>
    <mergeCell ref="F38:F39"/>
    <mergeCell ref="C40:C41"/>
    <mergeCell ref="D40:D41"/>
    <mergeCell ref="E40:E41"/>
    <mergeCell ref="F40:F41"/>
    <mergeCell ref="L137:L139"/>
    <mergeCell ref="L59:L61"/>
    <mergeCell ref="E97:K97"/>
    <mergeCell ref="L98:L100"/>
    <mergeCell ref="E136:K136"/>
    <mergeCell ref="C34:C35"/>
    <mergeCell ref="D34:D35"/>
    <mergeCell ref="E34:E35"/>
    <mergeCell ref="F34:F35"/>
    <mergeCell ref="C36:C37"/>
    <mergeCell ref="D36:D37"/>
    <mergeCell ref="E36:E37"/>
    <mergeCell ref="F36:F37"/>
    <mergeCell ref="C50:C51"/>
    <mergeCell ref="D50:D51"/>
    <mergeCell ref="E50:E51"/>
    <mergeCell ref="F50:F51"/>
    <mergeCell ref="C52:C53"/>
    <mergeCell ref="D52:D53"/>
    <mergeCell ref="E52:E53"/>
    <mergeCell ref="F52:F53"/>
    <mergeCell ref="C46:C47"/>
    <mergeCell ref="D46:D47"/>
    <mergeCell ref="E46:E47"/>
    <mergeCell ref="E215:L215"/>
    <mergeCell ref="E175:K175"/>
    <mergeCell ref="C176:C177"/>
    <mergeCell ref="D176:D177"/>
    <mergeCell ref="E176:E177"/>
    <mergeCell ref="F176:F177"/>
    <mergeCell ref="C178:C179"/>
    <mergeCell ref="D178:D179"/>
    <mergeCell ref="E178:E179"/>
    <mergeCell ref="F178:F179"/>
    <mergeCell ref="C180:C181"/>
    <mergeCell ref="C184:C185"/>
    <mergeCell ref="D184:D185"/>
    <mergeCell ref="E184:E185"/>
    <mergeCell ref="F184:F185"/>
    <mergeCell ref="C186:C187"/>
    <mergeCell ref="D186:D187"/>
    <mergeCell ref="E186:E187"/>
    <mergeCell ref="F186:F187"/>
    <mergeCell ref="D180:D181"/>
    <mergeCell ref="E180:E181"/>
    <mergeCell ref="F180:F181"/>
    <mergeCell ref="C182:C183"/>
    <mergeCell ref="D182:D183"/>
    <mergeCell ref="C61:C62"/>
    <mergeCell ref="D61:D62"/>
    <mergeCell ref="E61:E62"/>
    <mergeCell ref="F61:F62"/>
    <mergeCell ref="C63:C64"/>
    <mergeCell ref="D63:D64"/>
    <mergeCell ref="E63:E64"/>
    <mergeCell ref="F63:F64"/>
    <mergeCell ref="L18:L55"/>
    <mergeCell ref="C20:C21"/>
    <mergeCell ref="D20:D21"/>
    <mergeCell ref="E20:E21"/>
    <mergeCell ref="F20:F21"/>
    <mergeCell ref="C22:C23"/>
    <mergeCell ref="D22:D23"/>
    <mergeCell ref="E22:E23"/>
    <mergeCell ref="F22:F23"/>
    <mergeCell ref="C24:C25"/>
    <mergeCell ref="D24:D25"/>
    <mergeCell ref="E24:E25"/>
    <mergeCell ref="C26:C27"/>
    <mergeCell ref="D26:D27"/>
    <mergeCell ref="E26:E27"/>
    <mergeCell ref="F26:F27"/>
    <mergeCell ref="C28:C29"/>
    <mergeCell ref="D28:D29"/>
    <mergeCell ref="E28:E29"/>
    <mergeCell ref="F28:F29"/>
    <mergeCell ref="C30:C31"/>
    <mergeCell ref="D30:D31"/>
    <mergeCell ref="E30:E31"/>
    <mergeCell ref="F30:F31"/>
    <mergeCell ref="E17:K17"/>
    <mergeCell ref="F24:F25"/>
    <mergeCell ref="D8:K8"/>
    <mergeCell ref="F10:K10"/>
    <mergeCell ref="F11:K11"/>
    <mergeCell ref="D13:K13"/>
    <mergeCell ref="C18:C19"/>
    <mergeCell ref="D18:D19"/>
    <mergeCell ref="E18:E19"/>
    <mergeCell ref="F18:F19"/>
    <mergeCell ref="L13:L15"/>
    <mergeCell ref="D14:D15"/>
    <mergeCell ref="E14:E15"/>
    <mergeCell ref="F14:F15"/>
    <mergeCell ref="G14:I14"/>
    <mergeCell ref="J14:J15"/>
    <mergeCell ref="K14:K15"/>
    <mergeCell ref="G15:H15"/>
    <mergeCell ref="G16:H16"/>
  </mergeCells>
  <dataValidations count="4">
    <dataValidation type="decimal" allowBlank="1" showErrorMessage="1" errorTitle="Ошибка" error="Допускается ввод только действительных чисел!" sqref="J59 J61 J63 J65 J67 J69 J71 J73 J75 J77 J79 J81 J83 J85 J87 J89 J91 J93 J95 J98 J100 J102 J104 J106 J108 J110 J112 J114 J116 J118 J120 J122 J124 J126 J128 J130 J132 J134 J137 J139 J141 J143 J145 J147 J149 J151 J153 J155 J157 J159 J161 J163 J165 J167 J169 J171 J173 J176 J178 J180 J182 J184 J186 J188 J190 J192 J194 J196 J198 J200 J202 J204 J206 J208 J210 J212 J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L98 L137 L17 L59 L176 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18:I18 H30:I30 H20:I20 H22:I22 H24:I24 H26:I26 H28:I28 H32:I32 H34:I34 H36:I36 H38:I38 H40:I40 H42:I42 H44:I44 H46:I46 H48:I48 H50:I50 H52:I52 H54:I54 H59:I59 H71:I71 H61:I61 H63:I63 H65:I65 H67:I67 H69:I69 H73:I73 H75:I75 H77:I77 H79:I79 H81:I81 H83:I83 H85:I85 H87:I87 H89:I89 H91:I91 H93:I93 H95:I95 H98:I98 H110:I110 H100:I100 H102:I102 H104:I104 H106:I106 H108:I108 H112:I112 H114:I114 H116:I116 H118:I118 H120:I120 H122:I122 H124:I124 H126:I126 H128:I128 H130:I130 H132:I132 H134:I134 H137:I137 H149:I149 H139:I139 H141:I141 H143:I143 H145:I145 H147:I147 H151:I151 H153:I153 H155:I155 H157:I157 H159:I159 H161:I161 H163:I163 H165:I165 H167:I167 H169:I169 H171:I171 H173:I173 H176:I176 H188:I188 H178:I178 H180:I180 H182:I182 H184:I184 H186:I186 H190:I190 H192:I192 H194:I194 H196:I196 H198:I198 H200:I200 H202:I202 H204:I204 H206:I206 H208:I208 H210:I210 H212:I212 H2:I2 H4:I4"/>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350"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348"/>
      <c r="Q3" s="273"/>
      <c r="R3" s="274"/>
      <c r="S3" s="1350"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350" t="e">
        <f>INDEX(PT_DIFFERENTIATION_NUM_CS,MATCH(C4,PT_DIFFERENTIATION_CS_ID,0))</f>
        <v>#N/A</v>
      </c>
      <c r="T4" s="225" t="s">
        <v>1687</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1688</v>
      </c>
      <c r="AM4" s="426"/>
      <c r="AN4" s="426" t="str">
        <f t="shared" si="0"/>
        <v>Наименование централизованной системы холодного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347"/>
      <c r="R5" s="277"/>
      <c r="S5" s="1350"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350"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350"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349"/>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347"/>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14.25"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351"/>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46"/>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46"/>
      <c r="M19" s="1288"/>
      <c r="N19" s="1288"/>
      <c r="O19" s="1288"/>
      <c r="P19" s="1288"/>
      <c r="Q19" s="1297"/>
      <c r="R19" s="1297"/>
      <c r="S19" s="649"/>
      <c r="AL19" s="437"/>
      <c r="AM19" s="437"/>
      <c r="AN19" s="437"/>
      <c r="AO19" s="437"/>
      <c r="AP19" s="437"/>
    </row>
    <row r="20" spans="1:42" s="1292" customFormat="1" ht="12" hidden="1" customHeight="1">
      <c r="L20" s="1346"/>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281"/>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278" t="s">
        <v>1695</v>
      </c>
      <c r="W38" s="1822" t="s">
        <v>507</v>
      </c>
      <c r="X38" s="1821"/>
      <c r="Y38" s="1822" t="s">
        <v>508</v>
      </c>
      <c r="Z38" s="1827"/>
      <c r="AA38" s="1821"/>
      <c r="AB38" s="2059"/>
      <c r="AC38" s="1278" t="s">
        <v>1695</v>
      </c>
      <c r="AD38" s="1822" t="s">
        <v>507</v>
      </c>
      <c r="AE38" s="1821"/>
      <c r="AF38" s="1822" t="s">
        <v>508</v>
      </c>
      <c r="AG38" s="1827"/>
      <c r="AH38" s="1821"/>
      <c r="AI38" s="2059"/>
      <c r="AJ38" s="2062"/>
      <c r="AK38" s="1840"/>
    </row>
    <row r="39" spans="1:42" ht="33.7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278" t="s">
        <v>1698</v>
      </c>
      <c r="W39" s="1138" t="s">
        <v>1699</v>
      </c>
      <c r="X39" s="1138" t="s">
        <v>1700</v>
      </c>
      <c r="Y39" s="1283" t="s">
        <v>518</v>
      </c>
      <c r="Z39" s="1931" t="s">
        <v>519</v>
      </c>
      <c r="AA39" s="1945"/>
      <c r="AB39" s="2060"/>
      <c r="AC39" s="1278" t="s">
        <v>1698</v>
      </c>
      <c r="AD39" s="1138" t="s">
        <v>1699</v>
      </c>
      <c r="AE39" s="1138" t="s">
        <v>1700</v>
      </c>
      <c r="AF39" s="1283" t="s">
        <v>518</v>
      </c>
      <c r="AG39" s="1931" t="s">
        <v>519</v>
      </c>
      <c r="AH39" s="1945"/>
      <c r="AI39" s="2060"/>
      <c r="AJ39" s="2063"/>
      <c r="AK39" s="1840"/>
    </row>
    <row r="40" spans="1:42" s="1566" customFormat="1" ht="11.25"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279">
        <f ca="1">OFFSET(V40,0,-1)+1</f>
        <v>3</v>
      </c>
      <c r="W40" s="1279">
        <f ca="1">OFFSET(W40,0,-1)+1</f>
        <v>4</v>
      </c>
      <c r="X40" s="1279">
        <f ca="1">OFFSET(X40,0,-1)+1</f>
        <v>5</v>
      </c>
      <c r="Y40" s="1279">
        <f ca="1">OFFSET(Y40,0,-1)+1</f>
        <v>6</v>
      </c>
      <c r="Z40" s="2052">
        <f ca="1">OFFSET(Z40,0,-1)+1</f>
        <v>7</v>
      </c>
      <c r="AA40" s="2052"/>
      <c r="AB40" s="1279">
        <f ca="1">OFFSET(AB40,0,-2)+1</f>
        <v>8</v>
      </c>
      <c r="AC40" s="1279">
        <f ca="1">OFFSET(AC40,0,-1)+1</f>
        <v>9</v>
      </c>
      <c r="AD40" s="1279">
        <f ca="1">OFFSET(AD40,0,-1)+1</f>
        <v>10</v>
      </c>
      <c r="AE40" s="1279">
        <f ca="1">OFFSET(AE40,0,-1)+1</f>
        <v>11</v>
      </c>
      <c r="AF40" s="1279">
        <f ca="1">OFFSET(AF40,0,-1)+1</f>
        <v>12</v>
      </c>
      <c r="AG40" s="2052">
        <f ca="1">OFFSET(AG40,0,-1)+1</f>
        <v>13</v>
      </c>
      <c r="AH40" s="2052"/>
      <c r="AI40" s="1279">
        <f ca="1">OFFSET(AI40,0,-2)+1</f>
        <v>14</v>
      </c>
      <c r="AJ40" s="1164">
        <f ca="1">OFFSET(AJ40,0,-1)</f>
        <v>14</v>
      </c>
      <c r="AK40" s="1279">
        <f ca="1">OFFSET(AK40,0,-1)+1</f>
        <v>15</v>
      </c>
      <c r="AL40" s="437"/>
      <c r="AM40" s="437"/>
      <c r="AN40" s="437"/>
      <c r="AO40" s="437"/>
      <c r="AP40" s="437"/>
    </row>
    <row r="41" spans="1:42" ht="23.25" customHeight="1">
      <c r="A41" s="1289" t="s">
        <v>208</v>
      </c>
      <c r="B41" s="1289"/>
      <c r="C41" s="1289"/>
      <c r="D41" s="1289"/>
      <c r="E41" s="2042">
        <v>1</v>
      </c>
      <c r="F41" s="1289"/>
      <c r="G41" s="1289"/>
      <c r="H41" s="1289"/>
      <c r="I41" s="1289"/>
      <c r="J41" s="1289"/>
      <c r="K41" s="1289"/>
      <c r="L41" s="1290"/>
      <c r="M41" s="1291"/>
      <c r="N41" s="1291"/>
      <c r="O41" s="1291"/>
      <c r="P41" s="282"/>
      <c r="Q41" s="281"/>
      <c r="R41" s="276"/>
      <c r="S41" s="1284">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208</v>
      </c>
      <c r="B42" s="1289" t="s">
        <v>209</v>
      </c>
      <c r="C42" s="1289"/>
      <c r="D42" s="1289"/>
      <c r="E42" s="2043"/>
      <c r="F42" s="2042">
        <v>1</v>
      </c>
      <c r="G42" s="1289"/>
      <c r="H42" s="1289"/>
      <c r="I42" s="1289"/>
      <c r="J42" s="1289"/>
      <c r="K42" s="1289"/>
      <c r="L42" s="1290"/>
      <c r="M42" s="1291"/>
      <c r="N42" s="1291"/>
      <c r="O42" s="1291"/>
      <c r="P42" s="1282"/>
      <c r="Q42" s="273"/>
      <c r="R42" s="274"/>
      <c r="S42" s="1284"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208</v>
      </c>
      <c r="B43" s="1289" t="s">
        <v>209</v>
      </c>
      <c r="C43" s="1289" t="s">
        <v>210</v>
      </c>
      <c r="D43" s="1289"/>
      <c r="E43" s="2043"/>
      <c r="F43" s="2043"/>
      <c r="G43" s="2042">
        <v>1</v>
      </c>
      <c r="H43" s="1289"/>
      <c r="I43" s="1289"/>
      <c r="J43" s="1289"/>
      <c r="K43" s="1289"/>
      <c r="L43" s="1290"/>
      <c r="M43" s="1291"/>
      <c r="N43" s="1291"/>
      <c r="O43" s="1291"/>
      <c r="P43" s="275"/>
      <c r="Q43" s="273"/>
      <c r="R43" s="274"/>
      <c r="S43" s="1284" t="str">
        <f>INDEX(PT_DIFFERENTIATION_NUM_CS,MATCH(C43,PT_DIFFERENTIATION_CS_ID,0))</f>
        <v>..</v>
      </c>
      <c r="T43" s="225" t="s">
        <v>1687</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1688</v>
      </c>
      <c r="AM43" s="426"/>
      <c r="AN43" s="426" t="str">
        <f t="shared" si="1"/>
        <v>Наименование централизованной системы холодного водоснабжения</v>
      </c>
      <c r="AO43" s="426"/>
      <c r="AP43" s="426"/>
    </row>
    <row r="44" spans="1:42" ht="23.25" customHeight="1">
      <c r="A44" s="1289" t="s">
        <v>208</v>
      </c>
      <c r="B44" s="1289" t="s">
        <v>209</v>
      </c>
      <c r="C44" s="1289" t="s">
        <v>210</v>
      </c>
      <c r="D44" s="1289" t="s">
        <v>1701</v>
      </c>
      <c r="E44" s="2043"/>
      <c r="F44" s="2043"/>
      <c r="G44" s="2043"/>
      <c r="H44" s="2043"/>
      <c r="I44" s="2044" t="str">
        <f>S43&amp;".1"</f>
        <v>...1</v>
      </c>
      <c r="J44" s="1289"/>
      <c r="K44" s="1289"/>
      <c r="L44" s="1290"/>
      <c r="P44" s="1961">
        <v>1</v>
      </c>
      <c r="Q44" s="1280"/>
      <c r="R44" s="277"/>
      <c r="S44" s="1284"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208</v>
      </c>
      <c r="B45" s="1289" t="s">
        <v>209</v>
      </c>
      <c r="C45" s="1289" t="s">
        <v>210</v>
      </c>
      <c r="D45" s="1289" t="s">
        <v>1701</v>
      </c>
      <c r="E45" s="2043"/>
      <c r="F45" s="2043"/>
      <c r="G45" s="2043"/>
      <c r="H45" s="2043"/>
      <c r="I45" s="2045"/>
      <c r="J45" s="2044" t="str">
        <f>I44&amp;".1"</f>
        <v>...1.1</v>
      </c>
      <c r="K45" s="1289"/>
      <c r="L45" s="1290" t="s">
        <v>481</v>
      </c>
      <c r="P45" s="1961"/>
      <c r="Q45" s="1961">
        <v>1</v>
      </c>
      <c r="R45" s="278"/>
      <c r="S45" s="1284"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208</v>
      </c>
      <c r="B46" s="1289" t="s">
        <v>209</v>
      </c>
      <c r="C46" s="1289" t="s">
        <v>210</v>
      </c>
      <c r="D46" s="1289" t="s">
        <v>1701</v>
      </c>
      <c r="E46" s="2043"/>
      <c r="F46" s="2043"/>
      <c r="G46" s="2043"/>
      <c r="H46" s="2043"/>
      <c r="I46" s="2045"/>
      <c r="J46" s="2045"/>
      <c r="K46" s="2044" t="str">
        <f>J45&amp;".1"</f>
        <v>...1.1.1</v>
      </c>
      <c r="L46" s="1290"/>
      <c r="P46" s="1961"/>
      <c r="Q46" s="1961"/>
      <c r="R46" s="278">
        <v>1</v>
      </c>
      <c r="S46" s="1284" t="str">
        <f>$K46</f>
        <v>...1.1.1</v>
      </c>
      <c r="T46" s="1362"/>
      <c r="U46" s="214"/>
      <c r="V46" s="1286"/>
      <c r="W46" s="1286"/>
      <c r="X46" s="1287"/>
      <c r="Y46" s="2040"/>
      <c r="Z46" s="2039" t="s">
        <v>58</v>
      </c>
      <c r="AA46" s="2040"/>
      <c r="AB46" s="2039" t="s">
        <v>58</v>
      </c>
      <c r="AC46" s="669"/>
      <c r="AD46" s="669"/>
      <c r="AE46" s="1186"/>
      <c r="AF46" s="2046"/>
      <c r="AG46" s="1850" t="s">
        <v>58</v>
      </c>
      <c r="AH46" s="2048"/>
      <c r="AI46" s="1850" t="s">
        <v>56</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208</v>
      </c>
      <c r="B47" s="1289" t="s">
        <v>209</v>
      </c>
      <c r="C47" s="1289" t="s">
        <v>210</v>
      </c>
      <c r="D47" s="1289" t="s">
        <v>1701</v>
      </c>
      <c r="E47" s="2043"/>
      <c r="F47" s="2043"/>
      <c r="G47" s="2043"/>
      <c r="H47" s="2043"/>
      <c r="I47" s="2045"/>
      <c r="J47" s="2045"/>
      <c r="K47" s="2044"/>
      <c r="L47" s="1290"/>
      <c r="P47" s="1961"/>
      <c r="Q47" s="1961"/>
      <c r="R47" s="278"/>
      <c r="S47" s="1285"/>
      <c r="T47" s="214"/>
      <c r="U47" s="214"/>
      <c r="V47" s="1286"/>
      <c r="W47" s="1286"/>
      <c r="X47" s="250" t="str">
        <f>Y46&amp;"-"&amp;AA46</f>
        <v>-</v>
      </c>
      <c r="Y47" s="2039"/>
      <c r="Z47" s="2039"/>
      <c r="AA47" s="2039"/>
      <c r="AB47" s="2039"/>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208</v>
      </c>
      <c r="B48" s="1289" t="s">
        <v>209</v>
      </c>
      <c r="C48" s="1289" t="s">
        <v>210</v>
      </c>
      <c r="D48" s="1289" t="s">
        <v>1701</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208</v>
      </c>
      <c r="B49" s="1289" t="s">
        <v>209</v>
      </c>
      <c r="C49" s="1289" t="s">
        <v>210</v>
      </c>
      <c r="D49" s="1289" t="s">
        <v>1701</v>
      </c>
      <c r="E49" s="2043"/>
      <c r="F49" s="2043"/>
      <c r="G49" s="2043"/>
      <c r="H49" s="2043"/>
      <c r="I49" s="2044"/>
      <c r="J49" s="1289"/>
      <c r="K49" s="1289"/>
      <c r="L49" s="1290"/>
      <c r="P49" s="1961"/>
      <c r="Q49" s="1280"/>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208</v>
      </c>
      <c r="B50" s="1289" t="s">
        <v>209</v>
      </c>
      <c r="C50" s="1289" t="s">
        <v>210</v>
      </c>
      <c r="D50" s="1289" t="s">
        <v>1701</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208</v>
      </c>
      <c r="B51" s="1270" t="s">
        <v>209</v>
      </c>
      <c r="C51" s="1242"/>
      <c r="D51" s="1242"/>
      <c r="E51" s="2043"/>
      <c r="F51" s="2042"/>
      <c r="G51" s="1242"/>
      <c r="H51" s="1242"/>
      <c r="I51" s="1242"/>
      <c r="J51" s="1242"/>
      <c r="K51" s="1242"/>
      <c r="L51" s="1351"/>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208</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351"/>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1702</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1703</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J5 AC5:AI5 AC44:AI44 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380"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376"/>
      <c r="Q3" s="273"/>
      <c r="R3" s="274"/>
      <c r="S3" s="1380"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380" t="e">
        <f>INDEX(PT_DIFFERENTIATION_NUM_CS,MATCH(C4,PT_DIFFERENTIATION_CS_ID,0))</f>
        <v>#N/A</v>
      </c>
      <c r="T4" s="225" t="s">
        <v>1687</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1688</v>
      </c>
      <c r="AM4" s="426"/>
      <c r="AN4" s="426" t="str">
        <f t="shared" si="0"/>
        <v>Наименование централизованной системы холодного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373"/>
      <c r="R5" s="277"/>
      <c r="S5" s="1380"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380"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380"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379"/>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373"/>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381"/>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70"/>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70"/>
      <c r="M19" s="1288"/>
      <c r="N19" s="1288"/>
      <c r="O19" s="1288"/>
      <c r="P19" s="1288"/>
      <c r="Q19" s="1297"/>
      <c r="R19" s="1297"/>
      <c r="S19" s="649"/>
      <c r="AL19" s="437"/>
      <c r="AM19" s="437"/>
      <c r="AN19" s="437"/>
      <c r="AO19" s="437"/>
      <c r="AP19" s="437"/>
    </row>
    <row r="20" spans="1:42" s="1292" customFormat="1" ht="12" hidden="1" customHeight="1">
      <c r="L20" s="1370"/>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377"/>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375" t="s">
        <v>1695</v>
      </c>
      <c r="W38" s="1822" t="s">
        <v>507</v>
      </c>
      <c r="X38" s="1821"/>
      <c r="Y38" s="1822" t="s">
        <v>508</v>
      </c>
      <c r="Z38" s="1827"/>
      <c r="AA38" s="1821"/>
      <c r="AB38" s="2059"/>
      <c r="AC38" s="1375" t="s">
        <v>1695</v>
      </c>
      <c r="AD38" s="1822" t="s">
        <v>507</v>
      </c>
      <c r="AE38" s="1821"/>
      <c r="AF38" s="1822" t="s">
        <v>508</v>
      </c>
      <c r="AG38" s="1827"/>
      <c r="AH38" s="1821"/>
      <c r="AI38" s="2059"/>
      <c r="AJ38" s="2062"/>
      <c r="AK38" s="1840"/>
    </row>
    <row r="39" spans="1:42" ht="33.7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375" t="s">
        <v>1698</v>
      </c>
      <c r="W39" s="1138" t="s">
        <v>1699</v>
      </c>
      <c r="X39" s="1138" t="s">
        <v>1700</v>
      </c>
      <c r="Y39" s="1378" t="s">
        <v>518</v>
      </c>
      <c r="Z39" s="1931" t="s">
        <v>519</v>
      </c>
      <c r="AA39" s="1945"/>
      <c r="AB39" s="2060"/>
      <c r="AC39" s="1375" t="s">
        <v>1698</v>
      </c>
      <c r="AD39" s="1138" t="s">
        <v>1699</v>
      </c>
      <c r="AE39" s="1138" t="s">
        <v>1700</v>
      </c>
      <c r="AF39" s="1378" t="s">
        <v>518</v>
      </c>
      <c r="AG39" s="1931" t="s">
        <v>519</v>
      </c>
      <c r="AH39" s="1945"/>
      <c r="AI39" s="2060"/>
      <c r="AJ39" s="2063"/>
      <c r="AK39" s="1840"/>
    </row>
    <row r="40" spans="1:42" s="1566" customFormat="1" ht="0"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374">
        <f ca="1">OFFSET(V40,0,-1)+1</f>
        <v>3</v>
      </c>
      <c r="W40" s="1374">
        <f ca="1">OFFSET(W40,0,-1)+1</f>
        <v>4</v>
      </c>
      <c r="X40" s="1374">
        <f ca="1">OFFSET(X40,0,-1)+1</f>
        <v>5</v>
      </c>
      <c r="Y40" s="1374">
        <f ca="1">OFFSET(Y40,0,-1)+1</f>
        <v>6</v>
      </c>
      <c r="Z40" s="2052">
        <f ca="1">OFFSET(Z40,0,-1)+1</f>
        <v>7</v>
      </c>
      <c r="AA40" s="2052"/>
      <c r="AB40" s="1374">
        <f ca="1">OFFSET(AB40,0,-2)+1</f>
        <v>8</v>
      </c>
      <c r="AC40" s="1374">
        <f ca="1">OFFSET(AC40,0,-1)+1</f>
        <v>9</v>
      </c>
      <c r="AD40" s="1374">
        <f ca="1">OFFSET(AD40,0,-1)+1</f>
        <v>10</v>
      </c>
      <c r="AE40" s="1374">
        <f ca="1">OFFSET(AE40,0,-1)+1</f>
        <v>11</v>
      </c>
      <c r="AF40" s="1374">
        <f ca="1">OFFSET(AF40,0,-1)+1</f>
        <v>12</v>
      </c>
      <c r="AG40" s="2052">
        <f ca="1">OFFSET(AG40,0,-1)+1</f>
        <v>13</v>
      </c>
      <c r="AH40" s="2052"/>
      <c r="AI40" s="1374">
        <f ca="1">OFFSET(AI40,0,-2)+1</f>
        <v>14</v>
      </c>
      <c r="AJ40" s="1164">
        <f ca="1">OFFSET(AJ40,0,-1)</f>
        <v>14</v>
      </c>
      <c r="AK40" s="1374">
        <f ca="1">OFFSET(AK40,0,-1)+1</f>
        <v>15</v>
      </c>
      <c r="AL40" s="437"/>
      <c r="AM40" s="437"/>
      <c r="AN40" s="437"/>
      <c r="AO40" s="437"/>
      <c r="AP40" s="437"/>
    </row>
    <row r="41" spans="1:42" ht="23.25" customHeight="1">
      <c r="A41" s="1289" t="s">
        <v>213</v>
      </c>
      <c r="B41" s="1289"/>
      <c r="C41" s="1289"/>
      <c r="D41" s="1289"/>
      <c r="E41" s="2042">
        <v>1</v>
      </c>
      <c r="F41" s="1289"/>
      <c r="G41" s="1289"/>
      <c r="H41" s="1289"/>
      <c r="I41" s="1289"/>
      <c r="J41" s="1289"/>
      <c r="K41" s="1289"/>
      <c r="L41" s="1290"/>
      <c r="M41" s="1291"/>
      <c r="N41" s="1291"/>
      <c r="O41" s="1291"/>
      <c r="P41" s="282"/>
      <c r="Q41" s="281"/>
      <c r="R41" s="276"/>
      <c r="S41" s="1380">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213</v>
      </c>
      <c r="B42" s="1289" t="s">
        <v>214</v>
      </c>
      <c r="C42" s="1289"/>
      <c r="D42" s="1289"/>
      <c r="E42" s="2043"/>
      <c r="F42" s="2042">
        <v>1</v>
      </c>
      <c r="G42" s="1289"/>
      <c r="H42" s="1289"/>
      <c r="I42" s="1289"/>
      <c r="J42" s="1289"/>
      <c r="K42" s="1289"/>
      <c r="L42" s="1290"/>
      <c r="M42" s="1291"/>
      <c r="N42" s="1291"/>
      <c r="O42" s="1291"/>
      <c r="P42" s="1376"/>
      <c r="Q42" s="273"/>
      <c r="R42" s="274"/>
      <c r="S42" s="1380"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213</v>
      </c>
      <c r="B43" s="1289" t="s">
        <v>214</v>
      </c>
      <c r="C43" s="1289" t="s">
        <v>215</v>
      </c>
      <c r="D43" s="1289"/>
      <c r="E43" s="2043"/>
      <c r="F43" s="2043"/>
      <c r="G43" s="2042">
        <v>1</v>
      </c>
      <c r="H43" s="1289"/>
      <c r="I43" s="1289"/>
      <c r="J43" s="1289"/>
      <c r="K43" s="1289"/>
      <c r="L43" s="1290"/>
      <c r="M43" s="1291"/>
      <c r="N43" s="1291"/>
      <c r="O43" s="1291"/>
      <c r="P43" s="275"/>
      <c r="Q43" s="273"/>
      <c r="R43" s="274"/>
      <c r="S43" s="1380" t="str">
        <f>INDEX(PT_DIFFERENTIATION_NUM_CS,MATCH(C43,PT_DIFFERENTIATION_CS_ID,0))</f>
        <v>..</v>
      </c>
      <c r="T43" s="225" t="s">
        <v>1687</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1688</v>
      </c>
      <c r="AM43" s="426"/>
      <c r="AN43" s="426" t="str">
        <f t="shared" si="1"/>
        <v>Наименование централизованной системы холодного водоснабжения</v>
      </c>
      <c r="AO43" s="426"/>
      <c r="AP43" s="426"/>
    </row>
    <row r="44" spans="1:42" ht="23.25" customHeight="1">
      <c r="A44" s="1289" t="s">
        <v>213</v>
      </c>
      <c r="B44" s="1289" t="s">
        <v>214</v>
      </c>
      <c r="C44" s="1289" t="s">
        <v>215</v>
      </c>
      <c r="D44" s="1289" t="s">
        <v>1704</v>
      </c>
      <c r="E44" s="2043"/>
      <c r="F44" s="2043"/>
      <c r="G44" s="2043"/>
      <c r="H44" s="2043"/>
      <c r="I44" s="2044" t="str">
        <f>S43&amp;".1"</f>
        <v>...1</v>
      </c>
      <c r="J44" s="1289"/>
      <c r="K44" s="1289"/>
      <c r="L44" s="1290"/>
      <c r="P44" s="1961">
        <v>1</v>
      </c>
      <c r="Q44" s="1373"/>
      <c r="R44" s="277"/>
      <c r="S44" s="1380"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213</v>
      </c>
      <c r="B45" s="1289" t="s">
        <v>214</v>
      </c>
      <c r="C45" s="1289" t="s">
        <v>215</v>
      </c>
      <c r="D45" s="1289" t="s">
        <v>1704</v>
      </c>
      <c r="E45" s="2043"/>
      <c r="F45" s="2043"/>
      <c r="G45" s="2043"/>
      <c r="H45" s="2043"/>
      <c r="I45" s="2045"/>
      <c r="J45" s="2044" t="str">
        <f>I44&amp;".1"</f>
        <v>...1.1</v>
      </c>
      <c r="K45" s="1289"/>
      <c r="L45" s="1290" t="s">
        <v>481</v>
      </c>
      <c r="P45" s="1961"/>
      <c r="Q45" s="1961">
        <v>1</v>
      </c>
      <c r="R45" s="278"/>
      <c r="S45" s="1380"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213</v>
      </c>
      <c r="B46" s="1289" t="s">
        <v>214</v>
      </c>
      <c r="C46" s="1289" t="s">
        <v>215</v>
      </c>
      <c r="D46" s="1289" t="s">
        <v>1704</v>
      </c>
      <c r="E46" s="2043"/>
      <c r="F46" s="2043"/>
      <c r="G46" s="2043"/>
      <c r="H46" s="2043"/>
      <c r="I46" s="2045"/>
      <c r="J46" s="2045"/>
      <c r="K46" s="2044" t="str">
        <f>J45&amp;".1"</f>
        <v>...1.1.1</v>
      </c>
      <c r="L46" s="1290"/>
      <c r="P46" s="1961"/>
      <c r="Q46" s="1961"/>
      <c r="R46" s="278">
        <v>1</v>
      </c>
      <c r="S46" s="1380" t="str">
        <f>$K46</f>
        <v>...1.1.1</v>
      </c>
      <c r="T46" s="1362"/>
      <c r="U46" s="214"/>
      <c r="V46" s="669"/>
      <c r="W46" s="669"/>
      <c r="X46" s="1186"/>
      <c r="Y46" s="2046"/>
      <c r="Z46" s="1850" t="s">
        <v>58</v>
      </c>
      <c r="AA46" s="2046"/>
      <c r="AB46" s="1850" t="s">
        <v>58</v>
      </c>
      <c r="AC46" s="669"/>
      <c r="AD46" s="669"/>
      <c r="AE46" s="1186"/>
      <c r="AF46" s="2046"/>
      <c r="AG46" s="1850" t="s">
        <v>58</v>
      </c>
      <c r="AH46" s="2048"/>
      <c r="AI46" s="1850" t="s">
        <v>58</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213</v>
      </c>
      <c r="B47" s="1289" t="s">
        <v>214</v>
      </c>
      <c r="C47" s="1289" t="s">
        <v>215</v>
      </c>
      <c r="D47" s="1289" t="s">
        <v>1704</v>
      </c>
      <c r="E47" s="2043"/>
      <c r="F47" s="2043"/>
      <c r="G47" s="2043"/>
      <c r="H47" s="2043"/>
      <c r="I47" s="2045"/>
      <c r="J47" s="2045"/>
      <c r="K47" s="2044"/>
      <c r="L47" s="1290"/>
      <c r="P47" s="1961"/>
      <c r="Q47" s="1961"/>
      <c r="R47" s="278"/>
      <c r="S47" s="1379"/>
      <c r="T47" s="214"/>
      <c r="U47" s="214"/>
      <c r="V47" s="246"/>
      <c r="W47" s="246"/>
      <c r="X47" s="250" t="str">
        <f>Y46&amp;"-"&amp;AA46</f>
        <v>-</v>
      </c>
      <c r="Y47" s="2047"/>
      <c r="Z47" s="1850"/>
      <c r="AA47" s="2047"/>
      <c r="AB47" s="1850"/>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213</v>
      </c>
      <c r="B48" s="1289" t="s">
        <v>214</v>
      </c>
      <c r="C48" s="1289" t="s">
        <v>215</v>
      </c>
      <c r="D48" s="1289" t="s">
        <v>1704</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213</v>
      </c>
      <c r="B49" s="1289" t="s">
        <v>214</v>
      </c>
      <c r="C49" s="1289" t="s">
        <v>215</v>
      </c>
      <c r="D49" s="1289" t="s">
        <v>1704</v>
      </c>
      <c r="E49" s="2043"/>
      <c r="F49" s="2043"/>
      <c r="G49" s="2043"/>
      <c r="H49" s="2043"/>
      <c r="I49" s="2044"/>
      <c r="J49" s="1289"/>
      <c r="K49" s="1289"/>
      <c r="L49" s="1290"/>
      <c r="P49" s="1961"/>
      <c r="Q49" s="1373"/>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213</v>
      </c>
      <c r="B50" s="1289" t="s">
        <v>214</v>
      </c>
      <c r="C50" s="1289" t="s">
        <v>215</v>
      </c>
      <c r="D50" s="1289" t="s">
        <v>1704</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213</v>
      </c>
      <c r="B51" s="1270" t="s">
        <v>214</v>
      </c>
      <c r="C51" s="1242"/>
      <c r="D51" s="1242"/>
      <c r="E51" s="2043"/>
      <c r="F51" s="2042"/>
      <c r="G51" s="1242"/>
      <c r="H51" s="1242"/>
      <c r="I51" s="1242"/>
      <c r="J51" s="1242"/>
      <c r="K51" s="1242"/>
      <c r="L51" s="1381"/>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213</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381"/>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1702</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1703</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380"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376"/>
      <c r="Q3" s="273"/>
      <c r="R3" s="274"/>
      <c r="S3" s="1380"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380" t="e">
        <f>INDEX(PT_DIFFERENTIATION_NUM_CS,MATCH(C4,PT_DIFFERENTIATION_CS_ID,0))</f>
        <v>#N/A</v>
      </c>
      <c r="T4" s="225" t="s">
        <v>1687</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1688</v>
      </c>
      <c r="AM4" s="426"/>
      <c r="AN4" s="426" t="str">
        <f t="shared" si="0"/>
        <v>Наименование централизованной системы холодного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373"/>
      <c r="R5" s="277"/>
      <c r="S5" s="1380"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380"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380"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379"/>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373"/>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381"/>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70"/>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70"/>
      <c r="M19" s="1288"/>
      <c r="N19" s="1288"/>
      <c r="O19" s="1288"/>
      <c r="P19" s="1288"/>
      <c r="Q19" s="1297"/>
      <c r="R19" s="1297"/>
      <c r="S19" s="649"/>
      <c r="AL19" s="437"/>
      <c r="AM19" s="437"/>
      <c r="AN19" s="437"/>
      <c r="AO19" s="437"/>
      <c r="AP19" s="437"/>
    </row>
    <row r="20" spans="1:42" s="1292" customFormat="1" ht="12" hidden="1" customHeight="1">
      <c r="L20" s="1370"/>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377"/>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375" t="s">
        <v>1695</v>
      </c>
      <c r="W38" s="1822" t="s">
        <v>507</v>
      </c>
      <c r="X38" s="1821"/>
      <c r="Y38" s="1822" t="s">
        <v>508</v>
      </c>
      <c r="Z38" s="1827"/>
      <c r="AA38" s="1821"/>
      <c r="AB38" s="2059"/>
      <c r="AC38" s="1375" t="s">
        <v>1695</v>
      </c>
      <c r="AD38" s="1822" t="s">
        <v>507</v>
      </c>
      <c r="AE38" s="1821"/>
      <c r="AF38" s="1822" t="s">
        <v>508</v>
      </c>
      <c r="AG38" s="1827"/>
      <c r="AH38" s="1821"/>
      <c r="AI38" s="2059"/>
      <c r="AJ38" s="2062"/>
      <c r="AK38" s="1840"/>
    </row>
    <row r="39" spans="1:42" ht="33.7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375" t="s">
        <v>1698</v>
      </c>
      <c r="W39" s="1138" t="s">
        <v>1699</v>
      </c>
      <c r="X39" s="1138" t="s">
        <v>1700</v>
      </c>
      <c r="Y39" s="1378" t="s">
        <v>518</v>
      </c>
      <c r="Z39" s="1931" t="s">
        <v>519</v>
      </c>
      <c r="AA39" s="1945"/>
      <c r="AB39" s="2060"/>
      <c r="AC39" s="1375" t="s">
        <v>1698</v>
      </c>
      <c r="AD39" s="1138" t="s">
        <v>1699</v>
      </c>
      <c r="AE39" s="1138" t="s">
        <v>1700</v>
      </c>
      <c r="AF39" s="1378" t="s">
        <v>518</v>
      </c>
      <c r="AG39" s="1931" t="s">
        <v>519</v>
      </c>
      <c r="AH39" s="1945"/>
      <c r="AI39" s="2060"/>
      <c r="AJ39" s="2063"/>
      <c r="AK39" s="1840"/>
    </row>
    <row r="40" spans="1:42" s="1566" customFormat="1" ht="0"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374">
        <f ca="1">OFFSET(V40,0,-1)+1</f>
        <v>3</v>
      </c>
      <c r="W40" s="1374">
        <f ca="1">OFFSET(W40,0,-1)+1</f>
        <v>4</v>
      </c>
      <c r="X40" s="1374">
        <f ca="1">OFFSET(X40,0,-1)+1</f>
        <v>5</v>
      </c>
      <c r="Y40" s="1374">
        <f ca="1">OFFSET(Y40,0,-1)+1</f>
        <v>6</v>
      </c>
      <c r="Z40" s="2052">
        <f ca="1">OFFSET(Z40,0,-1)+1</f>
        <v>7</v>
      </c>
      <c r="AA40" s="2052"/>
      <c r="AB40" s="1374">
        <f ca="1">OFFSET(AB40,0,-2)+1</f>
        <v>8</v>
      </c>
      <c r="AC40" s="1374">
        <f ca="1">OFFSET(AC40,0,-1)+1</f>
        <v>9</v>
      </c>
      <c r="AD40" s="1374">
        <f ca="1">OFFSET(AD40,0,-1)+1</f>
        <v>10</v>
      </c>
      <c r="AE40" s="1374">
        <f ca="1">OFFSET(AE40,0,-1)+1</f>
        <v>11</v>
      </c>
      <c r="AF40" s="1374">
        <f ca="1">OFFSET(AF40,0,-1)+1</f>
        <v>12</v>
      </c>
      <c r="AG40" s="2052">
        <f ca="1">OFFSET(AG40,0,-1)+1</f>
        <v>13</v>
      </c>
      <c r="AH40" s="2052"/>
      <c r="AI40" s="1374">
        <f ca="1">OFFSET(AI40,0,-2)+1</f>
        <v>14</v>
      </c>
      <c r="AJ40" s="1164">
        <f ca="1">OFFSET(AJ40,0,-1)</f>
        <v>14</v>
      </c>
      <c r="AK40" s="1374">
        <f ca="1">OFFSET(AK40,0,-1)+1</f>
        <v>15</v>
      </c>
      <c r="AL40" s="437"/>
      <c r="AM40" s="437"/>
      <c r="AN40" s="437"/>
      <c r="AO40" s="437"/>
      <c r="AP40" s="437"/>
    </row>
    <row r="41" spans="1:42" ht="23.25" customHeight="1">
      <c r="A41" s="1289" t="s">
        <v>218</v>
      </c>
      <c r="B41" s="1289"/>
      <c r="C41" s="1289"/>
      <c r="D41" s="1289"/>
      <c r="E41" s="2042">
        <v>1</v>
      </c>
      <c r="F41" s="1289"/>
      <c r="G41" s="1289"/>
      <c r="H41" s="1289"/>
      <c r="I41" s="1289"/>
      <c r="J41" s="1289"/>
      <c r="K41" s="1289"/>
      <c r="L41" s="1290"/>
      <c r="M41" s="1291"/>
      <c r="N41" s="1291"/>
      <c r="O41" s="1291"/>
      <c r="P41" s="282"/>
      <c r="Q41" s="281"/>
      <c r="R41" s="276"/>
      <c r="S41" s="1380">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218</v>
      </c>
      <c r="B42" s="1289" t="s">
        <v>219</v>
      </c>
      <c r="C42" s="1289"/>
      <c r="D42" s="1289"/>
      <c r="E42" s="2043"/>
      <c r="F42" s="2042">
        <v>1</v>
      </c>
      <c r="G42" s="1289"/>
      <c r="H42" s="1289"/>
      <c r="I42" s="1289"/>
      <c r="J42" s="1289"/>
      <c r="K42" s="1289"/>
      <c r="L42" s="1290"/>
      <c r="M42" s="1291"/>
      <c r="N42" s="1291"/>
      <c r="O42" s="1291"/>
      <c r="P42" s="1376"/>
      <c r="Q42" s="273"/>
      <c r="R42" s="274"/>
      <c r="S42" s="1380"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218</v>
      </c>
      <c r="B43" s="1289" t="s">
        <v>219</v>
      </c>
      <c r="C43" s="1289" t="s">
        <v>220</v>
      </c>
      <c r="D43" s="1289"/>
      <c r="E43" s="2043"/>
      <c r="F43" s="2043"/>
      <c r="G43" s="2042">
        <v>1</v>
      </c>
      <c r="H43" s="1289"/>
      <c r="I43" s="1289"/>
      <c r="J43" s="1289"/>
      <c r="K43" s="1289"/>
      <c r="L43" s="1290"/>
      <c r="M43" s="1291"/>
      <c r="N43" s="1291"/>
      <c r="O43" s="1291"/>
      <c r="P43" s="275"/>
      <c r="Q43" s="273"/>
      <c r="R43" s="274"/>
      <c r="S43" s="1380" t="str">
        <f>INDEX(PT_DIFFERENTIATION_NUM_CS,MATCH(C43,PT_DIFFERENTIATION_CS_ID,0))</f>
        <v>..</v>
      </c>
      <c r="T43" s="225" t="s">
        <v>1687</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1688</v>
      </c>
      <c r="AM43" s="426"/>
      <c r="AN43" s="426" t="str">
        <f t="shared" si="1"/>
        <v>Наименование централизованной системы холодного водоснабжения</v>
      </c>
      <c r="AO43" s="426"/>
      <c r="AP43" s="426"/>
    </row>
    <row r="44" spans="1:42" ht="23.25" customHeight="1">
      <c r="A44" s="1289" t="s">
        <v>218</v>
      </c>
      <c r="B44" s="1289" t="s">
        <v>219</v>
      </c>
      <c r="C44" s="1289" t="s">
        <v>220</v>
      </c>
      <c r="D44" s="1289" t="s">
        <v>1705</v>
      </c>
      <c r="E44" s="2043"/>
      <c r="F44" s="2043"/>
      <c r="G44" s="2043"/>
      <c r="H44" s="2043"/>
      <c r="I44" s="2044" t="str">
        <f>S43&amp;".1"</f>
        <v>...1</v>
      </c>
      <c r="J44" s="1289"/>
      <c r="K44" s="1289"/>
      <c r="L44" s="1290"/>
      <c r="P44" s="1961">
        <v>1</v>
      </c>
      <c r="Q44" s="1373"/>
      <c r="R44" s="277"/>
      <c r="S44" s="1380"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218</v>
      </c>
      <c r="B45" s="1289" t="s">
        <v>219</v>
      </c>
      <c r="C45" s="1289" t="s">
        <v>220</v>
      </c>
      <c r="D45" s="1289" t="s">
        <v>1705</v>
      </c>
      <c r="E45" s="2043"/>
      <c r="F45" s="2043"/>
      <c r="G45" s="2043"/>
      <c r="H45" s="2043"/>
      <c r="I45" s="2045"/>
      <c r="J45" s="2044" t="str">
        <f>I44&amp;".1"</f>
        <v>...1.1</v>
      </c>
      <c r="K45" s="1289"/>
      <c r="L45" s="1290" t="s">
        <v>481</v>
      </c>
      <c r="P45" s="1961"/>
      <c r="Q45" s="1961">
        <v>1</v>
      </c>
      <c r="R45" s="278"/>
      <c r="S45" s="1380"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218</v>
      </c>
      <c r="B46" s="1289" t="s">
        <v>219</v>
      </c>
      <c r="C46" s="1289" t="s">
        <v>220</v>
      </c>
      <c r="D46" s="1289" t="s">
        <v>1705</v>
      </c>
      <c r="E46" s="2043"/>
      <c r="F46" s="2043"/>
      <c r="G46" s="2043"/>
      <c r="H46" s="2043"/>
      <c r="I46" s="2045"/>
      <c r="J46" s="2045"/>
      <c r="K46" s="2044" t="str">
        <f>J45&amp;".1"</f>
        <v>...1.1.1</v>
      </c>
      <c r="L46" s="1290"/>
      <c r="P46" s="1961"/>
      <c r="Q46" s="1961"/>
      <c r="R46" s="278">
        <v>1</v>
      </c>
      <c r="S46" s="1380" t="str">
        <f>$K46</f>
        <v>...1.1.1</v>
      </c>
      <c r="T46" s="1362"/>
      <c r="U46" s="214"/>
      <c r="V46" s="669"/>
      <c r="W46" s="669"/>
      <c r="X46" s="1186"/>
      <c r="Y46" s="2046"/>
      <c r="Z46" s="1850" t="s">
        <v>58</v>
      </c>
      <c r="AA46" s="2046"/>
      <c r="AB46" s="1850" t="s">
        <v>58</v>
      </c>
      <c r="AC46" s="669"/>
      <c r="AD46" s="669"/>
      <c r="AE46" s="1186"/>
      <c r="AF46" s="2046"/>
      <c r="AG46" s="1850" t="s">
        <v>58</v>
      </c>
      <c r="AH46" s="2048"/>
      <c r="AI46" s="1850" t="s">
        <v>58</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218</v>
      </c>
      <c r="B47" s="1289" t="s">
        <v>219</v>
      </c>
      <c r="C47" s="1289" t="s">
        <v>220</v>
      </c>
      <c r="D47" s="1289" t="s">
        <v>1705</v>
      </c>
      <c r="E47" s="2043"/>
      <c r="F47" s="2043"/>
      <c r="G47" s="2043"/>
      <c r="H47" s="2043"/>
      <c r="I47" s="2045"/>
      <c r="J47" s="2045"/>
      <c r="K47" s="2044"/>
      <c r="L47" s="1290"/>
      <c r="P47" s="1961"/>
      <c r="Q47" s="1961"/>
      <c r="R47" s="278"/>
      <c r="S47" s="1379"/>
      <c r="T47" s="214"/>
      <c r="U47" s="214"/>
      <c r="V47" s="246"/>
      <c r="W47" s="246"/>
      <c r="X47" s="250" t="str">
        <f>Y46&amp;"-"&amp;AA46</f>
        <v>-</v>
      </c>
      <c r="Y47" s="2047"/>
      <c r="Z47" s="1850"/>
      <c r="AA47" s="2047"/>
      <c r="AB47" s="1850"/>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218</v>
      </c>
      <c r="B48" s="1289" t="s">
        <v>219</v>
      </c>
      <c r="C48" s="1289" t="s">
        <v>220</v>
      </c>
      <c r="D48" s="1289" t="s">
        <v>1705</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218</v>
      </c>
      <c r="B49" s="1289" t="s">
        <v>219</v>
      </c>
      <c r="C49" s="1289" t="s">
        <v>220</v>
      </c>
      <c r="D49" s="1289" t="s">
        <v>1705</v>
      </c>
      <c r="E49" s="2043"/>
      <c r="F49" s="2043"/>
      <c r="G49" s="2043"/>
      <c r="H49" s="2043"/>
      <c r="I49" s="2044"/>
      <c r="J49" s="1289"/>
      <c r="K49" s="1289"/>
      <c r="L49" s="1290"/>
      <c r="P49" s="1961"/>
      <c r="Q49" s="1373"/>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218</v>
      </c>
      <c r="B50" s="1289" t="s">
        <v>219</v>
      </c>
      <c r="C50" s="1289" t="s">
        <v>220</v>
      </c>
      <c r="D50" s="1289" t="s">
        <v>1705</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218</v>
      </c>
      <c r="B51" s="1270" t="s">
        <v>219</v>
      </c>
      <c r="C51" s="1242"/>
      <c r="D51" s="1242"/>
      <c r="E51" s="2043"/>
      <c r="F51" s="2042"/>
      <c r="G51" s="1242"/>
      <c r="H51" s="1242"/>
      <c r="I51" s="1242"/>
      <c r="J51" s="1242"/>
      <c r="K51" s="1242"/>
      <c r="L51" s="1381"/>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218</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381"/>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1702</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1703</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380"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376"/>
      <c r="Q3" s="273"/>
      <c r="R3" s="274"/>
      <c r="S3" s="1380"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380" t="e">
        <f>INDEX(PT_DIFFERENTIATION_NUM_CS,MATCH(C4,PT_DIFFERENTIATION_CS_ID,0))</f>
        <v>#N/A</v>
      </c>
      <c r="T4" s="225" t="s">
        <v>1687</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1688</v>
      </c>
      <c r="AM4" s="426"/>
      <c r="AN4" s="426" t="str">
        <f t="shared" si="0"/>
        <v>Наименование централизованной системы холодного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373"/>
      <c r="R5" s="277"/>
      <c r="S5" s="1380"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380"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380"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379"/>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373"/>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381"/>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70"/>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70"/>
      <c r="M19" s="1288"/>
      <c r="N19" s="1288"/>
      <c r="O19" s="1288"/>
      <c r="P19" s="1288"/>
      <c r="Q19" s="1297"/>
      <c r="R19" s="1297"/>
      <c r="S19" s="649"/>
      <c r="AL19" s="437"/>
      <c r="AM19" s="437"/>
      <c r="AN19" s="437"/>
      <c r="AO19" s="437"/>
      <c r="AP19" s="437"/>
    </row>
    <row r="20" spans="1:42" s="1292" customFormat="1" ht="12" hidden="1" customHeight="1">
      <c r="L20" s="1370"/>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377"/>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375" t="s">
        <v>1695</v>
      </c>
      <c r="W38" s="1822" t="s">
        <v>507</v>
      </c>
      <c r="X38" s="1821"/>
      <c r="Y38" s="1822" t="s">
        <v>508</v>
      </c>
      <c r="Z38" s="1827"/>
      <c r="AA38" s="1821"/>
      <c r="AB38" s="2059"/>
      <c r="AC38" s="1375" t="s">
        <v>1695</v>
      </c>
      <c r="AD38" s="1822" t="s">
        <v>507</v>
      </c>
      <c r="AE38" s="1821"/>
      <c r="AF38" s="1822" t="s">
        <v>508</v>
      </c>
      <c r="AG38" s="1827"/>
      <c r="AH38" s="1821"/>
      <c r="AI38" s="2059"/>
      <c r="AJ38" s="2062"/>
      <c r="AK38" s="1840"/>
    </row>
    <row r="39" spans="1:42" ht="33.7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375" t="s">
        <v>1698</v>
      </c>
      <c r="W39" s="1138" t="s">
        <v>1699</v>
      </c>
      <c r="X39" s="1138" t="s">
        <v>1700</v>
      </c>
      <c r="Y39" s="1378" t="s">
        <v>518</v>
      </c>
      <c r="Z39" s="1931" t="s">
        <v>519</v>
      </c>
      <c r="AA39" s="1945"/>
      <c r="AB39" s="2060"/>
      <c r="AC39" s="1375" t="s">
        <v>1698</v>
      </c>
      <c r="AD39" s="1138" t="s">
        <v>1699</v>
      </c>
      <c r="AE39" s="1138" t="s">
        <v>1700</v>
      </c>
      <c r="AF39" s="1378" t="s">
        <v>518</v>
      </c>
      <c r="AG39" s="1931" t="s">
        <v>519</v>
      </c>
      <c r="AH39" s="1945"/>
      <c r="AI39" s="2060"/>
      <c r="AJ39" s="2063"/>
      <c r="AK39" s="1840"/>
    </row>
    <row r="40" spans="1:42" s="1566" customFormat="1" ht="0"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374">
        <f ca="1">OFFSET(V40,0,-1)+1</f>
        <v>3</v>
      </c>
      <c r="W40" s="1374">
        <f ca="1">OFFSET(W40,0,-1)+1</f>
        <v>4</v>
      </c>
      <c r="X40" s="1374">
        <f ca="1">OFFSET(X40,0,-1)+1</f>
        <v>5</v>
      </c>
      <c r="Y40" s="1374">
        <f ca="1">OFFSET(Y40,0,-1)+1</f>
        <v>6</v>
      </c>
      <c r="Z40" s="2052">
        <f ca="1">OFFSET(Z40,0,-1)+1</f>
        <v>7</v>
      </c>
      <c r="AA40" s="2052"/>
      <c r="AB40" s="1374">
        <f ca="1">OFFSET(AB40,0,-2)+1</f>
        <v>8</v>
      </c>
      <c r="AC40" s="1374">
        <f ca="1">OFFSET(AC40,0,-1)+1</f>
        <v>9</v>
      </c>
      <c r="AD40" s="1374">
        <f ca="1">OFFSET(AD40,0,-1)+1</f>
        <v>10</v>
      </c>
      <c r="AE40" s="1374">
        <f ca="1">OFFSET(AE40,0,-1)+1</f>
        <v>11</v>
      </c>
      <c r="AF40" s="1374">
        <f ca="1">OFFSET(AF40,0,-1)+1</f>
        <v>12</v>
      </c>
      <c r="AG40" s="2052">
        <f ca="1">OFFSET(AG40,0,-1)+1</f>
        <v>13</v>
      </c>
      <c r="AH40" s="2052"/>
      <c r="AI40" s="1374">
        <f ca="1">OFFSET(AI40,0,-2)+1</f>
        <v>14</v>
      </c>
      <c r="AJ40" s="1164">
        <f ca="1">OFFSET(AJ40,0,-1)</f>
        <v>14</v>
      </c>
      <c r="AK40" s="1374">
        <f ca="1">OFFSET(AK40,0,-1)+1</f>
        <v>15</v>
      </c>
      <c r="AL40" s="437"/>
      <c r="AM40" s="437"/>
      <c r="AN40" s="437"/>
      <c r="AO40" s="437"/>
      <c r="AP40" s="437"/>
    </row>
    <row r="41" spans="1:42" ht="23.25" customHeight="1">
      <c r="A41" s="1289" t="s">
        <v>223</v>
      </c>
      <c r="B41" s="1289"/>
      <c r="C41" s="1289"/>
      <c r="D41" s="1289"/>
      <c r="E41" s="2042">
        <v>1</v>
      </c>
      <c r="F41" s="1289"/>
      <c r="G41" s="1289"/>
      <c r="H41" s="1289"/>
      <c r="I41" s="1289"/>
      <c r="J41" s="1289"/>
      <c r="K41" s="1289"/>
      <c r="L41" s="1290"/>
      <c r="M41" s="1291"/>
      <c r="N41" s="1291"/>
      <c r="O41" s="1291"/>
      <c r="P41" s="282"/>
      <c r="Q41" s="281"/>
      <c r="R41" s="276"/>
      <c r="S41" s="1380">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223</v>
      </c>
      <c r="B42" s="1289" t="s">
        <v>224</v>
      </c>
      <c r="C42" s="1289"/>
      <c r="D42" s="1289"/>
      <c r="E42" s="2043"/>
      <c r="F42" s="2042">
        <v>1</v>
      </c>
      <c r="G42" s="1289"/>
      <c r="H42" s="1289"/>
      <c r="I42" s="1289"/>
      <c r="J42" s="1289"/>
      <c r="K42" s="1289"/>
      <c r="L42" s="1290"/>
      <c r="M42" s="1291"/>
      <c r="N42" s="1291"/>
      <c r="O42" s="1291"/>
      <c r="P42" s="1376"/>
      <c r="Q42" s="273"/>
      <c r="R42" s="274"/>
      <c r="S42" s="1380"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223</v>
      </c>
      <c r="B43" s="1289" t="s">
        <v>224</v>
      </c>
      <c r="C43" s="1289" t="s">
        <v>225</v>
      </c>
      <c r="D43" s="1289"/>
      <c r="E43" s="2043"/>
      <c r="F43" s="2043"/>
      <c r="G43" s="2042">
        <v>1</v>
      </c>
      <c r="H43" s="1289"/>
      <c r="I43" s="1289"/>
      <c r="J43" s="1289"/>
      <c r="K43" s="1289"/>
      <c r="L43" s="1290"/>
      <c r="M43" s="1291"/>
      <c r="N43" s="1291"/>
      <c r="O43" s="1291"/>
      <c r="P43" s="275"/>
      <c r="Q43" s="273"/>
      <c r="R43" s="274"/>
      <c r="S43" s="1380" t="str">
        <f>INDEX(PT_DIFFERENTIATION_NUM_CS,MATCH(C43,PT_DIFFERENTIATION_CS_ID,0))</f>
        <v>..</v>
      </c>
      <c r="T43" s="225" t="s">
        <v>1687</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1688</v>
      </c>
      <c r="AM43" s="426"/>
      <c r="AN43" s="426" t="str">
        <f t="shared" si="1"/>
        <v>Наименование централизованной системы холодного водоснабжения</v>
      </c>
      <c r="AO43" s="426"/>
      <c r="AP43" s="426"/>
    </row>
    <row r="44" spans="1:42" ht="23.25" customHeight="1">
      <c r="A44" s="1289" t="s">
        <v>223</v>
      </c>
      <c r="B44" s="1289" t="s">
        <v>224</v>
      </c>
      <c r="C44" s="1289" t="s">
        <v>225</v>
      </c>
      <c r="D44" s="1289" t="s">
        <v>1706</v>
      </c>
      <c r="E44" s="2043"/>
      <c r="F44" s="2043"/>
      <c r="G44" s="2043"/>
      <c r="H44" s="2043"/>
      <c r="I44" s="2044" t="str">
        <f>S43&amp;".1"</f>
        <v>...1</v>
      </c>
      <c r="J44" s="1289"/>
      <c r="K44" s="1289"/>
      <c r="L44" s="1290"/>
      <c r="P44" s="1961">
        <v>1</v>
      </c>
      <c r="Q44" s="1373"/>
      <c r="R44" s="277"/>
      <c r="S44" s="1380"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223</v>
      </c>
      <c r="B45" s="1289" t="s">
        <v>224</v>
      </c>
      <c r="C45" s="1289" t="s">
        <v>225</v>
      </c>
      <c r="D45" s="1289" t="s">
        <v>1706</v>
      </c>
      <c r="E45" s="2043"/>
      <c r="F45" s="2043"/>
      <c r="G45" s="2043"/>
      <c r="H45" s="2043"/>
      <c r="I45" s="2045"/>
      <c r="J45" s="2044" t="str">
        <f>I44&amp;".1"</f>
        <v>...1.1</v>
      </c>
      <c r="K45" s="1289"/>
      <c r="L45" s="1290" t="s">
        <v>481</v>
      </c>
      <c r="P45" s="1961"/>
      <c r="Q45" s="1961">
        <v>1</v>
      </c>
      <c r="R45" s="278"/>
      <c r="S45" s="1380"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223</v>
      </c>
      <c r="B46" s="1289" t="s">
        <v>224</v>
      </c>
      <c r="C46" s="1289" t="s">
        <v>225</v>
      </c>
      <c r="D46" s="1289" t="s">
        <v>1706</v>
      </c>
      <c r="E46" s="2043"/>
      <c r="F46" s="2043"/>
      <c r="G46" s="2043"/>
      <c r="H46" s="2043"/>
      <c r="I46" s="2045"/>
      <c r="J46" s="2045"/>
      <c r="K46" s="2044" t="str">
        <f>J45&amp;".1"</f>
        <v>...1.1.1</v>
      </c>
      <c r="L46" s="1290"/>
      <c r="P46" s="1961"/>
      <c r="Q46" s="1961"/>
      <c r="R46" s="278">
        <v>1</v>
      </c>
      <c r="S46" s="1380" t="str">
        <f>$K46</f>
        <v>...1.1.1</v>
      </c>
      <c r="T46" s="1362"/>
      <c r="U46" s="214"/>
      <c r="V46" s="669"/>
      <c r="W46" s="669"/>
      <c r="X46" s="1186"/>
      <c r="Y46" s="2046"/>
      <c r="Z46" s="1850" t="s">
        <v>58</v>
      </c>
      <c r="AA46" s="2046"/>
      <c r="AB46" s="1850" t="s">
        <v>58</v>
      </c>
      <c r="AC46" s="669"/>
      <c r="AD46" s="669"/>
      <c r="AE46" s="1186"/>
      <c r="AF46" s="2046"/>
      <c r="AG46" s="1850" t="s">
        <v>58</v>
      </c>
      <c r="AH46" s="2048"/>
      <c r="AI46" s="1850" t="s">
        <v>58</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223</v>
      </c>
      <c r="B47" s="1289" t="s">
        <v>224</v>
      </c>
      <c r="C47" s="1289" t="s">
        <v>225</v>
      </c>
      <c r="D47" s="1289" t="s">
        <v>1706</v>
      </c>
      <c r="E47" s="2043"/>
      <c r="F47" s="2043"/>
      <c r="G47" s="2043"/>
      <c r="H47" s="2043"/>
      <c r="I47" s="2045"/>
      <c r="J47" s="2045"/>
      <c r="K47" s="2044"/>
      <c r="L47" s="1290"/>
      <c r="P47" s="1961"/>
      <c r="Q47" s="1961"/>
      <c r="R47" s="278"/>
      <c r="S47" s="1379"/>
      <c r="T47" s="214"/>
      <c r="U47" s="214"/>
      <c r="V47" s="246"/>
      <c r="W47" s="246"/>
      <c r="X47" s="250" t="str">
        <f>Y46&amp;"-"&amp;AA46</f>
        <v>-</v>
      </c>
      <c r="Y47" s="2047"/>
      <c r="Z47" s="1850"/>
      <c r="AA47" s="2047"/>
      <c r="AB47" s="1850"/>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223</v>
      </c>
      <c r="B48" s="1289" t="s">
        <v>224</v>
      </c>
      <c r="C48" s="1289" t="s">
        <v>225</v>
      </c>
      <c r="D48" s="1289" t="s">
        <v>1706</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223</v>
      </c>
      <c r="B49" s="1289" t="s">
        <v>224</v>
      </c>
      <c r="C49" s="1289" t="s">
        <v>225</v>
      </c>
      <c r="D49" s="1289" t="s">
        <v>1706</v>
      </c>
      <c r="E49" s="2043"/>
      <c r="F49" s="2043"/>
      <c r="G49" s="2043"/>
      <c r="H49" s="2043"/>
      <c r="I49" s="2044"/>
      <c r="J49" s="1289"/>
      <c r="K49" s="1289"/>
      <c r="L49" s="1290"/>
      <c r="P49" s="1961"/>
      <c r="Q49" s="1373"/>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223</v>
      </c>
      <c r="B50" s="1289" t="s">
        <v>224</v>
      </c>
      <c r="C50" s="1289" t="s">
        <v>225</v>
      </c>
      <c r="D50" s="1289" t="s">
        <v>1706</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223</v>
      </c>
      <c r="B51" s="1270" t="s">
        <v>224</v>
      </c>
      <c r="C51" s="1242"/>
      <c r="D51" s="1242"/>
      <c r="E51" s="2043"/>
      <c r="F51" s="2042"/>
      <c r="G51" s="1242"/>
      <c r="H51" s="1242"/>
      <c r="I51" s="1242"/>
      <c r="J51" s="1242"/>
      <c r="K51" s="1242"/>
      <c r="L51" s="1381"/>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223</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381"/>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1702</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1703</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04" hidden="1" customWidth="1"/>
    <col min="17" max="17" width="3.69921875" style="1297" hidden="1" customWidth="1"/>
    <col min="18" max="18" width="3.69921875" style="265" customWidth="1"/>
    <col min="19" max="19" width="12.69921875" style="1795" customWidth="1"/>
    <col min="20" max="20" width="32"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2" width="3.69921875" style="1560" customWidth="1"/>
    <col min="33" max="33" width="24.69921875" style="1560" customWidth="1"/>
    <col min="34" max="36" width="3.69921875" style="1560" customWidth="1"/>
    <col min="37" max="37" width="24.69921875" style="1560" customWidth="1"/>
    <col min="38" max="40" width="3.69921875" style="1560" customWidth="1"/>
    <col min="41" max="41" width="18.796875" style="1560" customWidth="1"/>
    <col min="42" max="44" width="3.69921875" style="1560" customWidth="1"/>
    <col min="45" max="45" width="18.796875" style="1560" customWidth="1"/>
    <col min="46" max="49" width="21.69921875" style="1560" customWidth="1"/>
    <col min="50" max="50" width="11.69921875" style="1560" customWidth="1"/>
    <col min="51" max="51" width="3.69921875" style="1560" customWidth="1"/>
    <col min="52" max="52" width="11.69921875" style="1560" customWidth="1"/>
    <col min="53" max="53" width="8.59765625" style="1560" hidden="1" customWidth="1"/>
    <col min="54" max="54" width="4.69921875" style="1560" customWidth="1"/>
    <col min="55" max="55" width="115.69921875" style="1560" customWidth="1"/>
    <col min="56" max="57" width="10.59765625" style="1567"/>
    <col min="58" max="58" width="11.09765625" style="1567" customWidth="1"/>
    <col min="59" max="60" width="10.59765625" style="1567"/>
  </cols>
  <sheetData>
    <row r="1" spans="1:60" ht="14.25" hidden="1" customHeight="1">
      <c r="W1" s="249"/>
      <c r="Y1" s="249"/>
      <c r="Z1" s="249"/>
      <c r="AW1" s="249"/>
      <c r="AX1" s="249"/>
    </row>
    <row r="2" spans="1:60" ht="21" hidden="1" customHeight="1">
      <c r="A2" s="1289"/>
      <c r="B2" s="1289"/>
      <c r="C2" s="1289"/>
      <c r="D2" s="1289"/>
      <c r="E2" s="2042">
        <v>1</v>
      </c>
      <c r="F2" s="1289"/>
      <c r="G2" s="1289"/>
      <c r="H2" s="1289"/>
      <c r="I2" s="1289"/>
      <c r="J2" s="1289"/>
      <c r="K2" s="1289"/>
      <c r="L2" s="1290"/>
      <c r="M2" s="1291"/>
      <c r="N2" s="1291"/>
      <c r="O2" s="1291"/>
      <c r="P2" s="1335"/>
      <c r="Q2" s="790"/>
      <c r="R2" s="276"/>
      <c r="S2" s="1387" t="e">
        <f>INDEX(PT_DIFFERENTIATION_NUM_NTAR,MATCH(A2,PT_DIFFERENTIATION_NTAR_ID,0))</f>
        <v>#N/A</v>
      </c>
      <c r="T2" s="212" t="s">
        <v>119</v>
      </c>
      <c r="U2" s="214"/>
      <c r="V2" s="2037"/>
      <c r="W2" s="2037"/>
      <c r="X2" s="2037"/>
      <c r="Y2" s="2037"/>
      <c r="Z2" s="2037"/>
      <c r="AA2" s="2037"/>
      <c r="AB2" s="2037"/>
      <c r="AC2" s="2038"/>
      <c r="AD2" s="2036" t="e">
        <f>INDEX(PT_DIFFERENTIATION_NTAR,MATCH(A2,PT_DIFFERENTIATION_NTAR_ID,0))</f>
        <v>#N/A</v>
      </c>
      <c r="AE2" s="2037"/>
      <c r="AF2" s="2037"/>
      <c r="AG2" s="2037"/>
      <c r="AH2" s="2037"/>
      <c r="AI2" s="2037"/>
      <c r="AJ2" s="2037"/>
      <c r="AK2" s="2037"/>
      <c r="AL2" s="2037"/>
      <c r="AM2" s="2037"/>
      <c r="AN2" s="2037"/>
      <c r="AO2" s="2037"/>
      <c r="AP2" s="2037"/>
      <c r="AQ2" s="2037"/>
      <c r="AR2" s="2037"/>
      <c r="AS2" s="2037"/>
      <c r="AT2" s="2037"/>
      <c r="AU2" s="2037"/>
      <c r="AV2" s="2037"/>
      <c r="AW2" s="2037"/>
      <c r="AX2" s="2037"/>
      <c r="AY2" s="2037"/>
      <c r="AZ2" s="2037"/>
      <c r="BA2" s="2037"/>
      <c r="BB2" s="2038"/>
      <c r="BC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9"/>
      <c r="B3" s="1289"/>
      <c r="C3" s="1289"/>
      <c r="D3" s="1289"/>
      <c r="E3" s="2043"/>
      <c r="F3" s="2042">
        <v>1</v>
      </c>
      <c r="G3" s="1289"/>
      <c r="H3" s="1289"/>
      <c r="I3" s="1289"/>
      <c r="J3" s="1289"/>
      <c r="K3" s="1289"/>
      <c r="L3" s="1290"/>
      <c r="M3" s="1291"/>
      <c r="N3" s="1291"/>
      <c r="O3" s="1291"/>
      <c r="P3" s="1336"/>
      <c r="Q3" s="1337"/>
      <c r="R3" s="274"/>
      <c r="S3" s="1387" t="e">
        <f>INDEX(PT_DIFFERENTIATION_NUM_TER,MATCH(B3,PT_DIFFERENTIATION_TER_ID,0))</f>
        <v>#N/A</v>
      </c>
      <c r="T3" s="224" t="s">
        <v>472</v>
      </c>
      <c r="U3" s="214"/>
      <c r="V3" s="2037"/>
      <c r="W3" s="2037"/>
      <c r="X3" s="2037"/>
      <c r="Y3" s="2037"/>
      <c r="Z3" s="2037"/>
      <c r="AA3" s="2037"/>
      <c r="AB3" s="2037"/>
      <c r="AC3" s="2038"/>
      <c r="AD3" s="2036" t="e">
        <f>INDEX(PT_DIFFERENTIATION_TER,MATCH(B3,PT_DIFFERENTIATION_TER_ID,0))</f>
        <v>#N/A</v>
      </c>
      <c r="AE3" s="2037"/>
      <c r="AF3" s="2037"/>
      <c r="AG3" s="2037"/>
      <c r="AH3" s="2037"/>
      <c r="AI3" s="2037"/>
      <c r="AJ3" s="2037"/>
      <c r="AK3" s="2037"/>
      <c r="AL3" s="2037"/>
      <c r="AM3" s="2037"/>
      <c r="AN3" s="2037"/>
      <c r="AO3" s="2037"/>
      <c r="AP3" s="2037"/>
      <c r="AQ3" s="2037"/>
      <c r="AR3" s="2037"/>
      <c r="AS3" s="2037"/>
      <c r="AT3" s="2037"/>
      <c r="AU3" s="2037"/>
      <c r="AV3" s="2037"/>
      <c r="AW3" s="2037"/>
      <c r="AX3" s="2037"/>
      <c r="AY3" s="2037"/>
      <c r="AZ3" s="2037"/>
      <c r="BA3" s="2037"/>
      <c r="BB3" s="2038"/>
      <c r="BC3" s="1187" t="s">
        <v>473</v>
      </c>
      <c r="BE3" s="426"/>
      <c r="BF3" s="426" t="str">
        <f t="shared" si="0"/>
        <v>Территория действия тарифа</v>
      </c>
      <c r="BG3" s="426"/>
      <c r="BH3" s="426"/>
    </row>
    <row r="4" spans="1:60" ht="42" hidden="1" customHeight="1">
      <c r="A4" s="1289"/>
      <c r="B4" s="1289"/>
      <c r="C4" s="1289"/>
      <c r="D4" s="1289"/>
      <c r="E4" s="2043"/>
      <c r="F4" s="2043"/>
      <c r="G4" s="2042">
        <v>1</v>
      </c>
      <c r="H4" s="1289"/>
      <c r="I4" s="1289"/>
      <c r="J4" s="1289"/>
      <c r="K4" s="1289"/>
      <c r="L4" s="1290"/>
      <c r="M4" s="1291"/>
      <c r="N4" s="1291"/>
      <c r="O4" s="1291"/>
      <c r="P4" s="1338"/>
      <c r="Q4" s="1337"/>
      <c r="R4" s="274"/>
      <c r="S4" s="1387" t="e">
        <f>INDEX(PT_DIFFERENTIATION_NUM_CS,MATCH(C4,PT_DIFFERENTIATION_CS_ID,0))</f>
        <v>#N/A</v>
      </c>
      <c r="T4" s="225" t="s">
        <v>1687</v>
      </c>
      <c r="U4" s="214"/>
      <c r="V4" s="2037"/>
      <c r="W4" s="2037"/>
      <c r="X4" s="2037"/>
      <c r="Y4" s="2037"/>
      <c r="Z4" s="2037"/>
      <c r="AA4" s="2037"/>
      <c r="AB4" s="2037"/>
      <c r="AC4" s="2038"/>
      <c r="AD4" s="2036" t="e">
        <f>INDEX(PT_DIFFERENTIATION_CS,MATCH(C4,PT_DIFFERENTIATION_CS_ID,0))</f>
        <v>#N/A</v>
      </c>
      <c r="AE4" s="2037"/>
      <c r="AF4" s="2037"/>
      <c r="AG4" s="2037"/>
      <c r="AH4" s="2037"/>
      <c r="AI4" s="2037"/>
      <c r="AJ4" s="2037"/>
      <c r="AK4" s="2037"/>
      <c r="AL4" s="2037"/>
      <c r="AM4" s="2037"/>
      <c r="AN4" s="2037"/>
      <c r="AO4" s="2037"/>
      <c r="AP4" s="2037"/>
      <c r="AQ4" s="2037"/>
      <c r="AR4" s="2037"/>
      <c r="AS4" s="2037"/>
      <c r="AT4" s="2037"/>
      <c r="AU4" s="2037"/>
      <c r="AV4" s="2037"/>
      <c r="AW4" s="2037"/>
      <c r="AX4" s="2037"/>
      <c r="AY4" s="2037"/>
      <c r="AZ4" s="2037"/>
      <c r="BA4" s="2037"/>
      <c r="BB4" s="2038"/>
      <c r="BC4" s="1187" t="s">
        <v>1688</v>
      </c>
      <c r="BE4" s="426"/>
      <c r="BF4" s="426" t="str">
        <f t="shared" si="0"/>
        <v>Наименование централизованной системы холодного водоснабжения</v>
      </c>
      <c r="BG4" s="426"/>
      <c r="BH4" s="426"/>
    </row>
    <row r="5" spans="1:60" s="1567" customFormat="1" ht="14.25" hidden="1" customHeight="1">
      <c r="A5" s="1270"/>
      <c r="B5" s="1270"/>
      <c r="C5" s="1270"/>
      <c r="D5" s="1270"/>
      <c r="E5" s="2043"/>
      <c r="F5" s="2043"/>
      <c r="G5" s="2043"/>
      <c r="H5" s="2042">
        <v>1</v>
      </c>
      <c r="I5" s="1270"/>
      <c r="J5" s="1270"/>
      <c r="K5" s="1270"/>
      <c r="L5" s="1273"/>
      <c r="M5" s="1243"/>
      <c r="N5" s="1243"/>
      <c r="O5" s="1243"/>
      <c r="P5" s="1417"/>
      <c r="Q5" s="1418"/>
      <c r="R5" s="278"/>
      <c r="S5" s="958"/>
      <c r="T5" s="1419"/>
      <c r="U5" s="1310"/>
      <c r="V5" s="2072"/>
      <c r="W5" s="2072"/>
      <c r="X5" s="2072"/>
      <c r="Y5" s="2072"/>
      <c r="Z5" s="2072"/>
      <c r="AA5" s="2072"/>
      <c r="AB5" s="2072"/>
      <c r="AC5" s="2073"/>
      <c r="AD5" s="2071"/>
      <c r="AE5" s="2072"/>
      <c r="AF5" s="2072"/>
      <c r="AG5" s="2072"/>
      <c r="AH5" s="2072"/>
      <c r="AI5" s="2072"/>
      <c r="AJ5" s="2072"/>
      <c r="AK5" s="2072"/>
      <c r="AL5" s="2072"/>
      <c r="AM5" s="2072"/>
      <c r="AN5" s="2072"/>
      <c r="AO5" s="2072"/>
      <c r="AP5" s="2072"/>
      <c r="AQ5" s="2072"/>
      <c r="AR5" s="2072"/>
      <c r="AS5" s="2072"/>
      <c r="AT5" s="2072"/>
      <c r="AU5" s="2072"/>
      <c r="AV5" s="2072"/>
      <c r="AW5" s="2072"/>
      <c r="AX5" s="2072"/>
      <c r="AY5" s="2072"/>
      <c r="AZ5" s="2072"/>
      <c r="BA5" s="2072"/>
      <c r="BB5" s="2073"/>
      <c r="BC5" s="1311" t="s">
        <v>477</v>
      </c>
      <c r="BE5" s="426"/>
      <c r="BF5" s="426" t="str">
        <f t="shared" si="0"/>
        <v/>
      </c>
      <c r="BG5" s="426"/>
      <c r="BH5" s="426"/>
    </row>
    <row r="6" spans="1:60" s="1567" customFormat="1" ht="14.25" hidden="1" customHeight="1">
      <c r="A6" s="1270"/>
      <c r="B6" s="1270"/>
      <c r="C6" s="1270"/>
      <c r="D6" s="1270"/>
      <c r="E6" s="2043"/>
      <c r="F6" s="2043"/>
      <c r="G6" s="2043"/>
      <c r="H6" s="2043"/>
      <c r="I6" s="2044" t="str">
        <f>S5&amp;".1"</f>
        <v>.1</v>
      </c>
      <c r="J6" s="1270"/>
      <c r="K6" s="1270"/>
      <c r="L6" s="1273" t="s">
        <v>478</v>
      </c>
      <c r="M6" s="436"/>
      <c r="N6" s="436"/>
      <c r="O6" s="436"/>
      <c r="P6" s="1961">
        <v>1</v>
      </c>
      <c r="Q6" s="1384"/>
      <c r="R6" s="277"/>
      <c r="S6" s="958"/>
      <c r="T6" s="1309"/>
      <c r="U6" s="1310"/>
      <c r="V6" s="2072"/>
      <c r="W6" s="2072"/>
      <c r="X6" s="2072"/>
      <c r="Y6" s="2072"/>
      <c r="Z6" s="2072"/>
      <c r="AA6" s="2072"/>
      <c r="AB6" s="2072"/>
      <c r="AC6" s="2073"/>
      <c r="AD6" s="2071"/>
      <c r="AE6" s="2072"/>
      <c r="AF6" s="2072"/>
      <c r="AG6" s="2072"/>
      <c r="AH6" s="2072"/>
      <c r="AI6" s="2072"/>
      <c r="AJ6" s="2072"/>
      <c r="AK6" s="2072"/>
      <c r="AL6" s="2072"/>
      <c r="AM6" s="2072"/>
      <c r="AN6" s="2072"/>
      <c r="AO6" s="2072"/>
      <c r="AP6" s="2072"/>
      <c r="AQ6" s="2072"/>
      <c r="AR6" s="2072"/>
      <c r="AS6" s="2072"/>
      <c r="AT6" s="2072"/>
      <c r="AU6" s="2072"/>
      <c r="AV6" s="2072"/>
      <c r="AW6" s="2072"/>
      <c r="AX6" s="2072"/>
      <c r="AY6" s="2072"/>
      <c r="AZ6" s="2072"/>
      <c r="BA6" s="2072"/>
      <c r="BB6" s="2073"/>
      <c r="BC6" s="1311"/>
      <c r="BE6" s="426"/>
      <c r="BF6" s="426" t="str">
        <f t="shared" si="0"/>
        <v/>
      </c>
      <c r="BG6" s="426"/>
      <c r="BH6" s="426"/>
    </row>
    <row r="7" spans="1:60" s="1567" customFormat="1" ht="14.25" hidden="1" customHeight="1">
      <c r="A7" s="1270"/>
      <c r="B7" s="1270"/>
      <c r="C7" s="1270"/>
      <c r="D7" s="1270"/>
      <c r="E7" s="2043"/>
      <c r="F7" s="2043"/>
      <c r="G7" s="2043"/>
      <c r="H7" s="2043"/>
      <c r="I7" s="2045"/>
      <c r="J7" s="2044" t="str">
        <f>S5&amp;".1"</f>
        <v>.1</v>
      </c>
      <c r="K7" s="1270"/>
      <c r="L7" s="1273"/>
      <c r="M7" s="436"/>
      <c r="N7" s="436"/>
      <c r="O7" s="436"/>
      <c r="P7" s="1961"/>
      <c r="Q7" s="1961">
        <v>1</v>
      </c>
      <c r="R7" s="278"/>
      <c r="S7" s="958"/>
      <c r="T7" s="1325"/>
      <c r="U7" s="1310"/>
      <c r="V7" s="2072"/>
      <c r="W7" s="2072"/>
      <c r="X7" s="2072"/>
      <c r="Y7" s="2072"/>
      <c r="Z7" s="2072"/>
      <c r="AA7" s="2072"/>
      <c r="AB7" s="2072"/>
      <c r="AC7" s="2073"/>
      <c r="AD7" s="2071"/>
      <c r="AE7" s="2072"/>
      <c r="AF7" s="2072"/>
      <c r="AG7" s="2072"/>
      <c r="AH7" s="2072"/>
      <c r="AI7" s="2072"/>
      <c r="AJ7" s="2072"/>
      <c r="AK7" s="2072"/>
      <c r="AL7" s="2072"/>
      <c r="AM7" s="2072"/>
      <c r="AN7" s="2072"/>
      <c r="AO7" s="2072"/>
      <c r="AP7" s="2072"/>
      <c r="AQ7" s="2072"/>
      <c r="AR7" s="2072"/>
      <c r="AS7" s="2072"/>
      <c r="AT7" s="2072"/>
      <c r="AU7" s="2072"/>
      <c r="AV7" s="2072"/>
      <c r="AW7" s="2072"/>
      <c r="AX7" s="2072"/>
      <c r="AY7" s="2072"/>
      <c r="AZ7" s="2072"/>
      <c r="BA7" s="2072"/>
      <c r="BB7" s="2073"/>
      <c r="BC7" s="1311"/>
      <c r="BE7" s="426"/>
      <c r="BF7" s="426" t="str">
        <f t="shared" si="0"/>
        <v/>
      </c>
      <c r="BG7" s="426"/>
      <c r="BH7" s="426"/>
    </row>
    <row r="8" spans="1:60" ht="11.25" hidden="1" customHeight="1">
      <c r="A8" s="1289"/>
      <c r="B8" s="1289"/>
      <c r="C8" s="1289"/>
      <c r="D8" s="1289"/>
      <c r="E8" s="2043"/>
      <c r="F8" s="2043"/>
      <c r="G8" s="2043"/>
      <c r="H8" s="2043"/>
      <c r="I8" s="2045"/>
      <c r="J8" s="2045"/>
      <c r="K8" s="2044" t="e">
        <f>S4&amp;".1"</f>
        <v>#N/A</v>
      </c>
      <c r="L8" s="1290"/>
      <c r="P8" s="1961"/>
      <c r="Q8" s="1961"/>
      <c r="R8" s="2095">
        <v>1</v>
      </c>
      <c r="S8" s="2092" t="e">
        <f>$K8</f>
        <v>#N/A</v>
      </c>
      <c r="T8" s="2151"/>
      <c r="U8" s="214"/>
      <c r="V8" s="669"/>
      <c r="W8" s="1186"/>
      <c r="X8" s="669"/>
      <c r="Y8" s="1186"/>
      <c r="Z8" s="1658"/>
      <c r="AA8" s="1382" t="s">
        <v>58</v>
      </c>
      <c r="AB8" s="1658"/>
      <c r="AC8" s="1382" t="s">
        <v>58</v>
      </c>
      <c r="AD8" s="1907" t="s">
        <v>58</v>
      </c>
      <c r="AE8" s="2088"/>
      <c r="AF8" s="1920">
        <v>1</v>
      </c>
      <c r="AG8" s="2150"/>
      <c r="AH8" s="1850" t="s">
        <v>58</v>
      </c>
      <c r="AI8" s="2088"/>
      <c r="AJ8" s="1920">
        <v>1</v>
      </c>
      <c r="AK8" s="2149" t="s">
        <v>18</v>
      </c>
      <c r="AL8" s="1850" t="s">
        <v>58</v>
      </c>
      <c r="AM8" s="1895"/>
      <c r="AN8" s="1920">
        <v>1</v>
      </c>
      <c r="AO8" s="2154"/>
      <c r="AP8" s="2155" t="s">
        <v>58</v>
      </c>
      <c r="AQ8" s="227"/>
      <c r="AR8" s="1385">
        <v>1</v>
      </c>
      <c r="AS8" s="1388" t="s">
        <v>18</v>
      </c>
      <c r="AT8" s="669"/>
      <c r="AU8" s="1186"/>
      <c r="AV8" s="669"/>
      <c r="AW8" s="1186"/>
      <c r="AX8" s="1658"/>
      <c r="AY8" s="1382" t="s">
        <v>58</v>
      </c>
      <c r="AZ8" s="1658"/>
      <c r="BA8" s="1382" t="s">
        <v>58</v>
      </c>
      <c r="BB8" s="1275"/>
      <c r="BC8" s="2064" t="s">
        <v>1707</v>
      </c>
      <c r="BE8" s="426"/>
      <c r="BF8" s="426" t="str">
        <f t="shared" si="0"/>
        <v/>
      </c>
      <c r="BG8" s="426"/>
      <c r="BH8" s="426"/>
    </row>
    <row r="9" spans="1:60" ht="11.25" hidden="1" customHeight="1">
      <c r="A9" s="1289"/>
      <c r="B9" s="1289"/>
      <c r="C9" s="1289"/>
      <c r="D9" s="1289"/>
      <c r="E9" s="2043"/>
      <c r="F9" s="2043"/>
      <c r="G9" s="2043"/>
      <c r="H9" s="2043"/>
      <c r="I9" s="2045"/>
      <c r="J9" s="2045"/>
      <c r="K9" s="2044"/>
      <c r="L9" s="1290"/>
      <c r="P9" s="1961"/>
      <c r="Q9" s="1961"/>
      <c r="R9" s="2095"/>
      <c r="S9" s="2093"/>
      <c r="T9" s="2152"/>
      <c r="U9" s="214"/>
      <c r="V9" s="1319"/>
      <c r="W9" s="1416"/>
      <c r="X9" s="1319"/>
      <c r="Y9" s="1416"/>
      <c r="Z9" s="1319"/>
      <c r="AA9" s="1319"/>
      <c r="AB9" s="1319"/>
      <c r="AC9" s="1319"/>
      <c r="AD9" s="1908"/>
      <c r="AE9" s="2088"/>
      <c r="AF9" s="1920"/>
      <c r="AG9" s="2150"/>
      <c r="AH9" s="1850"/>
      <c r="AI9" s="2088"/>
      <c r="AJ9" s="1920"/>
      <c r="AK9" s="2149"/>
      <c r="AL9" s="1850"/>
      <c r="AM9" s="1900"/>
      <c r="AN9" s="1920"/>
      <c r="AO9" s="2154"/>
      <c r="AP9" s="2156"/>
      <c r="AQ9" s="234"/>
      <c r="AR9" s="346"/>
      <c r="AS9" s="346" t="s">
        <v>1708</v>
      </c>
      <c r="AT9" s="1319"/>
      <c r="AU9" s="1416"/>
      <c r="AV9" s="1319"/>
      <c r="AW9" s="1416"/>
      <c r="AX9" s="1319"/>
      <c r="AY9" s="1319"/>
      <c r="AZ9" s="1319"/>
      <c r="BA9" s="1319"/>
      <c r="BB9" s="1323"/>
      <c r="BC9" s="2065"/>
      <c r="BE9" s="426"/>
      <c r="BF9" s="426"/>
      <c r="BG9" s="426"/>
      <c r="BH9" s="426"/>
    </row>
    <row r="10" spans="1:60" ht="11.25" hidden="1" customHeight="1">
      <c r="A10" s="1289"/>
      <c r="B10" s="1289"/>
      <c r="C10" s="1289"/>
      <c r="D10" s="1289"/>
      <c r="E10" s="2043"/>
      <c r="F10" s="2043"/>
      <c r="G10" s="2043"/>
      <c r="H10" s="2043"/>
      <c r="I10" s="2045"/>
      <c r="J10" s="2045"/>
      <c r="K10" s="2044"/>
      <c r="L10" s="1290"/>
      <c r="P10" s="1961"/>
      <c r="Q10" s="1961"/>
      <c r="R10" s="2095"/>
      <c r="S10" s="2093"/>
      <c r="T10" s="2152"/>
      <c r="U10" s="214"/>
      <c r="V10" s="1319"/>
      <c r="W10" s="1416"/>
      <c r="X10" s="1319"/>
      <c r="Y10" s="1416"/>
      <c r="Z10" s="1319"/>
      <c r="AA10" s="1319"/>
      <c r="AB10" s="1319"/>
      <c r="AC10" s="1319"/>
      <c r="AD10" s="1908"/>
      <c r="AE10" s="2088"/>
      <c r="AF10" s="1920"/>
      <c r="AG10" s="2150"/>
      <c r="AH10" s="1850"/>
      <c r="AI10" s="2088"/>
      <c r="AJ10" s="1920"/>
      <c r="AK10" s="2149"/>
      <c r="AL10" s="1850"/>
      <c r="AM10" s="234"/>
      <c r="AN10" s="1420"/>
      <c r="AO10" s="1420" t="s">
        <v>1709</v>
      </c>
      <c r="AP10" s="346"/>
      <c r="AQ10" s="346"/>
      <c r="AR10" s="346"/>
      <c r="AS10" s="1319"/>
      <c r="AT10" s="1319"/>
      <c r="AU10" s="1416"/>
      <c r="AV10" s="1319"/>
      <c r="AW10" s="1416"/>
      <c r="AX10" s="1319"/>
      <c r="AY10" s="1319"/>
      <c r="AZ10" s="1319"/>
      <c r="BA10" s="1319"/>
      <c r="BB10" s="1323"/>
      <c r="BC10" s="2065"/>
      <c r="BE10" s="426"/>
      <c r="BF10" s="426"/>
      <c r="BG10" s="426"/>
      <c r="BH10" s="426"/>
    </row>
    <row r="11" spans="1:60" ht="11.25" hidden="1" customHeight="1">
      <c r="A11" s="1289"/>
      <c r="B11" s="1289"/>
      <c r="C11" s="1289"/>
      <c r="D11" s="1289"/>
      <c r="E11" s="2043"/>
      <c r="F11" s="2043"/>
      <c r="G11" s="2043"/>
      <c r="H11" s="2043"/>
      <c r="I11" s="2045"/>
      <c r="J11" s="2045"/>
      <c r="K11" s="2044"/>
      <c r="L11" s="1290"/>
      <c r="P11" s="1961"/>
      <c r="Q11" s="1961"/>
      <c r="R11" s="2095"/>
      <c r="S11" s="2093"/>
      <c r="T11" s="2152"/>
      <c r="U11" s="214"/>
      <c r="V11" s="1319"/>
      <c r="W11" s="1416"/>
      <c r="X11" s="1319"/>
      <c r="Y11" s="1416"/>
      <c r="Z11" s="1319"/>
      <c r="AA11" s="1319"/>
      <c r="AB11" s="1319"/>
      <c r="AC11" s="1319"/>
      <c r="AD11" s="1908"/>
      <c r="AE11" s="2088"/>
      <c r="AF11" s="1920"/>
      <c r="AG11" s="2150"/>
      <c r="AH11" s="1850"/>
      <c r="AI11" s="208"/>
      <c r="AJ11" s="345"/>
      <c r="AK11" s="229" t="s">
        <v>1710</v>
      </c>
      <c r="AL11" s="1319"/>
      <c r="AM11" s="1319"/>
      <c r="AN11" s="1319"/>
      <c r="AO11" s="1319"/>
      <c r="AP11" s="1319"/>
      <c r="AQ11" s="1319"/>
      <c r="AR11" s="1319"/>
      <c r="AS11" s="1319"/>
      <c r="AT11" s="1319"/>
      <c r="AU11" s="1416"/>
      <c r="AV11" s="1319"/>
      <c r="AW11" s="1416"/>
      <c r="AX11" s="1319"/>
      <c r="AY11" s="1319"/>
      <c r="AZ11" s="1319"/>
      <c r="BA11" s="1319"/>
      <c r="BB11" s="1323"/>
      <c r="BC11" s="2065"/>
      <c r="BE11" s="426"/>
      <c r="BF11" s="426"/>
      <c r="BG11" s="426"/>
      <c r="BH11" s="426"/>
    </row>
    <row r="12" spans="1:60" ht="11.25" hidden="1" customHeight="1">
      <c r="A12" s="1289"/>
      <c r="B12" s="1289"/>
      <c r="C12" s="1289"/>
      <c r="D12" s="1289"/>
      <c r="E12" s="2043"/>
      <c r="F12" s="2043"/>
      <c r="G12" s="2043"/>
      <c r="H12" s="2043"/>
      <c r="I12" s="2045"/>
      <c r="J12" s="2045"/>
      <c r="K12" s="2044"/>
      <c r="L12" s="1290"/>
      <c r="P12" s="1961"/>
      <c r="Q12" s="1961"/>
      <c r="R12" s="2095"/>
      <c r="S12" s="2094"/>
      <c r="T12" s="2153"/>
      <c r="U12" s="214"/>
      <c r="V12" s="1319"/>
      <c r="W12" s="1320" t="str">
        <f>Z8&amp;"-"&amp;AB8</f>
        <v>-</v>
      </c>
      <c r="X12" s="1319"/>
      <c r="Y12" s="1320" t="str">
        <f>AB8&amp;"-"&amp;AD8</f>
        <v>-да</v>
      </c>
      <c r="Z12" s="1319"/>
      <c r="AA12" s="1319"/>
      <c r="AB12" s="1319"/>
      <c r="AC12" s="1319"/>
      <c r="AD12" s="1855"/>
      <c r="AE12" s="228"/>
      <c r="AF12" s="230"/>
      <c r="AG12" s="346" t="s">
        <v>1711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065"/>
      <c r="BE12" s="426"/>
      <c r="BF12" s="426" t="str">
        <f t="shared" ref="BF12:BF18" si="1">IF(T12="","",T12)</f>
        <v/>
      </c>
      <c r="BG12" s="426"/>
      <c r="BH12" s="426"/>
    </row>
    <row r="13" spans="1:60" ht="11.25" hidden="1" customHeight="1">
      <c r="A13" s="1289"/>
      <c r="B13" s="1289"/>
      <c r="C13" s="1289"/>
      <c r="D13" s="1289"/>
      <c r="E13" s="2043"/>
      <c r="F13" s="2043"/>
      <c r="G13" s="2043"/>
      <c r="H13" s="2043"/>
      <c r="I13" s="2045"/>
      <c r="J13" s="2044"/>
      <c r="K13" s="1289"/>
      <c r="L13" s="1290"/>
      <c r="P13" s="1961"/>
      <c r="Q13" s="1961"/>
      <c r="R13" s="277"/>
      <c r="S13" s="1208"/>
      <c r="T13" s="202" t="s">
        <v>552</v>
      </c>
      <c r="U13" s="291"/>
      <c r="V13" s="291"/>
      <c r="W13" s="291"/>
      <c r="X13" s="291"/>
      <c r="Y13" s="291"/>
      <c r="Z13" s="291"/>
      <c r="AA13" s="291"/>
      <c r="AB13" s="291"/>
      <c r="AC13" s="291"/>
      <c r="AD13" s="1425"/>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2066"/>
      <c r="BE13" s="426"/>
      <c r="BF13" s="426" t="str">
        <f t="shared" si="1"/>
        <v>Добавить строку</v>
      </c>
      <c r="BG13" s="426"/>
      <c r="BH13" s="426"/>
    </row>
    <row r="14" spans="1:60" s="1567" customFormat="1" ht="14.25" hidden="1" customHeight="1">
      <c r="A14" s="1270"/>
      <c r="B14" s="1270"/>
      <c r="C14" s="1270"/>
      <c r="D14" s="1270"/>
      <c r="E14" s="2043"/>
      <c r="F14" s="2043"/>
      <c r="G14" s="2043"/>
      <c r="H14" s="2043"/>
      <c r="I14" s="2044"/>
      <c r="J14" s="1270"/>
      <c r="K14" s="1270"/>
      <c r="L14" s="1273"/>
      <c r="M14" s="436"/>
      <c r="N14" s="436"/>
      <c r="O14" s="436"/>
      <c r="P14" s="1961"/>
      <c r="Q14" s="1384"/>
      <c r="R14" s="27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26"/>
      <c r="BF14" s="426" t="str">
        <f t="shared" si="1"/>
        <v/>
      </c>
      <c r="BG14" s="426"/>
      <c r="BH14" s="426"/>
    </row>
    <row r="15" spans="1:60" s="1567" customFormat="1" ht="14.25" hidden="1" customHeight="1">
      <c r="A15" s="1270"/>
      <c r="B15" s="1270"/>
      <c r="C15" s="1270"/>
      <c r="D15" s="1270"/>
      <c r="E15" s="2043"/>
      <c r="F15" s="2043"/>
      <c r="G15" s="2043"/>
      <c r="H15" s="2042"/>
      <c r="I15" s="1270"/>
      <c r="J15" s="1270"/>
      <c r="K15" s="1270"/>
      <c r="L15" s="1273"/>
      <c r="M15" s="1243"/>
      <c r="N15" s="1243"/>
      <c r="O15" s="444"/>
      <c r="P15" s="308"/>
      <c r="Q15" s="1271"/>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26"/>
      <c r="BF15" s="426" t="str">
        <f t="shared" si="1"/>
        <v/>
      </c>
      <c r="BG15" s="426"/>
      <c r="BH15" s="426"/>
    </row>
    <row r="16" spans="1:60" s="1567" customFormat="1" ht="14.25" hidden="1" customHeight="1">
      <c r="A16" s="1270"/>
      <c r="B16" s="1270"/>
      <c r="C16" s="1270"/>
      <c r="D16" s="1242"/>
      <c r="E16" s="2043"/>
      <c r="F16" s="2043"/>
      <c r="G16" s="2042"/>
      <c r="H16" s="1242"/>
      <c r="I16" s="1242"/>
      <c r="J16" s="1242"/>
      <c r="K16" s="1242"/>
      <c r="L16" s="1386"/>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07"/>
      <c r="BF16" s="707" t="str">
        <f t="shared" si="1"/>
        <v/>
      </c>
      <c r="BG16" s="707"/>
      <c r="BH16" s="707"/>
    </row>
    <row r="17" spans="1:60" s="1567" customFormat="1" ht="14.25" hidden="1" customHeight="1">
      <c r="A17" s="1270"/>
      <c r="B17" s="1270"/>
      <c r="C17" s="1242"/>
      <c r="D17" s="1242"/>
      <c r="E17" s="2043"/>
      <c r="F17" s="2042"/>
      <c r="G17" s="1242"/>
      <c r="H17" s="1242"/>
      <c r="I17" s="1242"/>
      <c r="J17" s="1242"/>
      <c r="K17" s="1242"/>
      <c r="L17" s="1386"/>
      <c r="M17" s="1249"/>
      <c r="N17" s="1249"/>
      <c r="P17" s="1244"/>
      <c r="Q17" s="1245"/>
      <c r="R17" s="1244"/>
      <c r="S17" s="1250"/>
      <c r="T17" s="1253" t="s">
        <v>446</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07"/>
      <c r="BF17" s="707" t="str">
        <f t="shared" si="1"/>
        <v>Добавить централизованную систему для дифференциации</v>
      </c>
      <c r="BG17" s="707"/>
      <c r="BH17" s="707"/>
    </row>
    <row r="18" spans="1:60" s="1567" customFormat="1" ht="14.25" hidden="1" customHeight="1">
      <c r="A18" s="1270"/>
      <c r="B18" s="1270"/>
      <c r="C18" s="1270"/>
      <c r="D18" s="1270"/>
      <c r="E18" s="2042"/>
      <c r="F18" s="1270"/>
      <c r="G18" s="1270"/>
      <c r="H18" s="1270"/>
      <c r="I18" s="1270"/>
      <c r="J18" s="1270"/>
      <c r="K18" s="1270"/>
      <c r="L18" s="1273"/>
      <c r="M18" s="1249"/>
      <c r="N18" s="1249"/>
      <c r="O18" s="444"/>
      <c r="P18" s="308"/>
      <c r="Q18" s="1271"/>
      <c r="R18" s="308"/>
      <c r="S18" s="1250"/>
      <c r="T18" s="1253" t="s">
        <v>447</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26"/>
      <c r="BF18" s="426" t="str">
        <f t="shared" si="1"/>
        <v>Добавить территорию для дифференциации</v>
      </c>
      <c r="BG18" s="426"/>
      <c r="BH18" s="426"/>
    </row>
    <row r="19" spans="1:60" ht="14.25" hidden="1" customHeight="1">
      <c r="AC19" s="249"/>
      <c r="BA19" s="249"/>
    </row>
    <row r="20" spans="1:60" ht="14.25" hidden="1" customHeight="1">
      <c r="AD20" s="1252" t="s">
        <v>56</v>
      </c>
      <c r="AE20" s="1421"/>
      <c r="AF20" s="473">
        <v>1</v>
      </c>
      <c r="AG20" s="1422"/>
      <c r="AH20" s="1252" t="s">
        <v>56</v>
      </c>
      <c r="AI20" s="1421"/>
      <c r="AJ20" s="473">
        <v>1</v>
      </c>
      <c r="AK20" s="1422"/>
      <c r="AL20" s="1252" t="s">
        <v>56</v>
      </c>
      <c r="AM20" s="1423"/>
      <c r="AN20" s="473">
        <v>1</v>
      </c>
      <c r="AO20" s="1424"/>
      <c r="AP20" s="1252" t="s">
        <v>56</v>
      </c>
      <c r="AQ20" s="1423"/>
      <c r="AR20" s="473">
        <v>1</v>
      </c>
      <c r="AS20" s="1424"/>
      <c r="AT20" s="246"/>
      <c r="AU20" s="313"/>
      <c r="AV20" s="246"/>
      <c r="AW20" s="313"/>
      <c r="AX20" s="1660"/>
      <c r="AY20" s="1383" t="s">
        <v>58</v>
      </c>
      <c r="AZ20" s="1660"/>
      <c r="BA20" s="1383" t="s">
        <v>58</v>
      </c>
    </row>
    <row r="21" spans="1:60" ht="14.25" hidden="1" customHeight="1">
      <c r="BD21" s="422"/>
      <c r="BE21" s="422"/>
      <c r="BF21" s="422"/>
      <c r="BG21" s="422"/>
      <c r="BH21" s="422"/>
    </row>
    <row r="22" spans="1:60" ht="14.25" hidden="1" customHeight="1">
      <c r="O22" s="1293" t="s">
        <v>489</v>
      </c>
      <c r="Z22" s="1272"/>
      <c r="AB22" s="1272"/>
      <c r="AC22" s="249"/>
      <c r="AX22" s="1272"/>
      <c r="AZ22" s="1272"/>
      <c r="BA22" s="249"/>
      <c r="BD22" s="422"/>
      <c r="BE22" s="422"/>
      <c r="BF22" s="422"/>
      <c r="BG22" s="422"/>
      <c r="BH22" s="422"/>
    </row>
    <row r="23" spans="1:60" ht="14.25" hidden="1" customHeight="1">
      <c r="AC23" s="249"/>
      <c r="BA23" s="249"/>
      <c r="BD23" s="422"/>
      <c r="BE23" s="422"/>
      <c r="BF23" s="422"/>
      <c r="BG23" s="422"/>
      <c r="BH23" s="422"/>
    </row>
    <row r="24" spans="1:60" s="1429" customFormat="1" ht="14.25" hidden="1" customHeight="1">
      <c r="M24" s="1428"/>
      <c r="N24" s="1428"/>
      <c r="O24" s="1429" t="s">
        <v>490</v>
      </c>
      <c r="P24" s="1428"/>
      <c r="Q24" s="1430"/>
      <c r="R24" s="1430"/>
      <c r="AA24" s="1427" t="s">
        <v>492</v>
      </c>
      <c r="AC24" s="1427" t="s">
        <v>493</v>
      </c>
      <c r="AD24" s="1427" t="s">
        <v>553</v>
      </c>
      <c r="AH24" s="1427" t="s">
        <v>553</v>
      </c>
      <c r="AK24" s="1427" t="s">
        <v>1712</v>
      </c>
      <c r="AL24" s="1427" t="s">
        <v>553</v>
      </c>
      <c r="AP24" s="1427" t="s">
        <v>553</v>
      </c>
      <c r="AY24" s="1427" t="s">
        <v>492</v>
      </c>
      <c r="BA24" s="1427" t="s">
        <v>493</v>
      </c>
      <c r="BD24" s="1431"/>
      <c r="BE24" s="1431"/>
      <c r="BF24" s="1431"/>
      <c r="BG24" s="1431"/>
      <c r="BH24" s="1431"/>
    </row>
    <row r="25" spans="1:60" ht="14.25" hidden="1" customHeight="1">
      <c r="O25" s="1290"/>
      <c r="BD25" s="422"/>
      <c r="BE25" s="422"/>
      <c r="BF25" s="422"/>
      <c r="BG25" s="422"/>
      <c r="BH25" s="422"/>
    </row>
    <row r="26" spans="1:60" ht="14.25" hidden="1" customHeight="1">
      <c r="O26" s="1290"/>
      <c r="BD26" s="422"/>
      <c r="BE26" s="422"/>
      <c r="BF26" s="422"/>
      <c r="BG26" s="422"/>
      <c r="BH26" s="422"/>
    </row>
    <row r="27" spans="1:60" ht="14.25" customHeight="1">
      <c r="Q27" s="206"/>
      <c r="R27" s="300"/>
      <c r="S27" s="1205"/>
      <c r="T27" s="286"/>
      <c r="U27" s="286"/>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33.75" customHeight="1">
      <c r="Q28" s="206"/>
      <c r="R28" s="300"/>
      <c r="S28" s="2067" t="str">
        <f>IF(TEMPLATE_GROUP="P",PT_P_FORM_COLDVSNA_5_NAME_FORM,PT_R_FORM_COLDVSNA_17_NAME_FORM)</f>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
      <c r="T28" s="2067"/>
      <c r="U28" s="2067"/>
      <c r="V28" s="2067"/>
      <c r="W28" s="2067"/>
      <c r="X28" s="2067"/>
      <c r="Y28" s="2067"/>
      <c r="Z28" s="2067"/>
      <c r="AA28" s="2067"/>
      <c r="AB28" s="2067"/>
      <c r="AC28" s="2067"/>
      <c r="AD28" s="2067"/>
      <c r="AE28" s="2067"/>
      <c r="AF28" s="2067"/>
      <c r="AG28" s="2067"/>
      <c r="AH28" s="2067"/>
      <c r="AI28" s="2067"/>
      <c r="AJ28" s="2067"/>
      <c r="AK28" s="2067"/>
      <c r="AL28" s="2067"/>
      <c r="AM28" s="2067"/>
      <c r="AN28" s="2067"/>
      <c r="AO28" s="2067"/>
      <c r="AP28" s="2067"/>
      <c r="AQ28" s="2067"/>
      <c r="AR28" s="2067"/>
      <c r="AS28" s="2067"/>
      <c r="AT28" s="2067"/>
      <c r="AU28" s="2067"/>
      <c r="AV28" s="2067"/>
      <c r="AW28" s="2067"/>
      <c r="AX28" s="2067"/>
      <c r="AY28" s="2067"/>
      <c r="AZ28" s="2067"/>
      <c r="BA28" s="1162"/>
    </row>
    <row r="29" spans="1:60" ht="14.25" customHeight="1">
      <c r="Q29" s="206"/>
      <c r="R29" s="300"/>
      <c r="S29" s="1927" t="str">
        <f>IF(org=0,"Не определено",org)</f>
        <v>НАО "СВЕЗА Мантурово"</v>
      </c>
      <c r="T29" s="1927"/>
      <c r="U29" s="1927"/>
      <c r="V29" s="1927"/>
      <c r="W29" s="1927"/>
      <c r="X29" s="1927"/>
      <c r="Y29" s="1927"/>
      <c r="Z29" s="1927"/>
      <c r="AA29" s="1927"/>
      <c r="AB29" s="1927"/>
      <c r="AC29" s="1927"/>
      <c r="AD29" s="1927"/>
      <c r="AE29" s="1927"/>
      <c r="AF29" s="1927"/>
      <c r="AG29" s="1927"/>
      <c r="AH29" s="1927"/>
      <c r="AI29" s="1927"/>
      <c r="AJ29" s="1927"/>
      <c r="AK29" s="1927"/>
      <c r="AL29" s="1927"/>
      <c r="AM29" s="1927"/>
      <c r="AN29" s="1927"/>
      <c r="AO29" s="1927"/>
      <c r="AP29" s="1927"/>
      <c r="AQ29" s="1927"/>
      <c r="AR29" s="1927"/>
      <c r="AS29" s="1927"/>
      <c r="AT29" s="1927"/>
      <c r="AU29" s="1927"/>
      <c r="AV29" s="1927"/>
      <c r="AW29" s="1927"/>
      <c r="AX29" s="1927"/>
      <c r="AY29" s="1927"/>
      <c r="AZ29" s="1927"/>
      <c r="BA29" s="1162"/>
    </row>
    <row r="30" spans="1:60" ht="14.25" hidden="1" customHeight="1">
      <c r="Q30" s="206"/>
      <c r="R30" s="300"/>
      <c r="S30" s="1205"/>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5"/>
    </row>
    <row r="31" spans="1:60" s="1781" customFormat="1" ht="25.5" hidden="1" customHeight="1">
      <c r="A31" s="1294"/>
      <c r="B31" s="1294"/>
      <c r="C31" s="1294"/>
      <c r="D31" s="1294"/>
      <c r="E31" s="1294"/>
      <c r="F31" s="1294"/>
      <c r="G31" s="1294"/>
      <c r="H31" s="1294"/>
      <c r="I31" s="1294"/>
      <c r="J31" s="1294"/>
      <c r="K31" s="1294"/>
      <c r="L31" s="1295"/>
      <c r="M31" s="1294"/>
      <c r="N31" s="1294"/>
      <c r="O31" s="1294"/>
      <c r="P31" s="1294"/>
      <c r="Q31" s="1294"/>
      <c r="S31" s="2033" t="s">
        <v>39</v>
      </c>
      <c r="T31" s="2033"/>
      <c r="U31" s="1298"/>
      <c r="V31" s="2035"/>
      <c r="W31" s="2035"/>
      <c r="X31" s="2035"/>
      <c r="Y31" s="2035"/>
      <c r="Z31" s="2035"/>
      <c r="AA31" s="2035"/>
      <c r="AB31" s="2035"/>
      <c r="AC31" s="248"/>
      <c r="AD31" s="2035" t="str">
        <f>IF(TITLE_NAME_OR_PR_CHANGE="",IF(TITLE_NAME_OR_PR="","",TITLE_NAME_OR_PR),TITLE_NAME_OR_PR_CHANGE)</f>
        <v/>
      </c>
      <c r="AE31" s="2035"/>
      <c r="AF31" s="2035"/>
      <c r="AG31" s="2035"/>
      <c r="AH31" s="2035"/>
      <c r="AI31" s="2035"/>
      <c r="AJ31" s="2035"/>
      <c r="AK31" s="2035"/>
      <c r="AL31" s="2035"/>
      <c r="AM31" s="2035"/>
      <c r="AN31" s="2035"/>
      <c r="AO31" s="2035"/>
      <c r="AP31" s="2035"/>
      <c r="AQ31" s="2035"/>
      <c r="AR31" s="2035"/>
      <c r="AS31" s="2035"/>
      <c r="AT31" s="2035"/>
      <c r="AU31" s="2035"/>
      <c r="AV31" s="2035"/>
      <c r="AW31" s="2035"/>
      <c r="AX31" s="2035"/>
      <c r="AY31" s="2035"/>
      <c r="AZ31" s="2035"/>
      <c r="BA31" s="248"/>
      <c r="BB31" s="248"/>
      <c r="BC31" s="196"/>
      <c r="BD31" s="292"/>
      <c r="BE31" s="292"/>
      <c r="BF31" s="292"/>
      <c r="BG31" s="292"/>
      <c r="BH31" s="292"/>
    </row>
    <row r="32" spans="1:60" s="1781" customFormat="1" ht="18.75" hidden="1" customHeight="1">
      <c r="A32" s="1294"/>
      <c r="B32" s="1294"/>
      <c r="C32" s="1294"/>
      <c r="D32" s="1294"/>
      <c r="E32" s="1294"/>
      <c r="F32" s="1294"/>
      <c r="G32" s="1294"/>
      <c r="H32" s="1294"/>
      <c r="I32" s="1294"/>
      <c r="J32" s="1294"/>
      <c r="K32" s="1294"/>
      <c r="L32" s="1295"/>
      <c r="M32" s="1294"/>
      <c r="N32" s="1294"/>
      <c r="O32" s="1294"/>
      <c r="P32" s="1294"/>
      <c r="Q32" s="1294"/>
      <c r="S32" s="2033" t="s">
        <v>495</v>
      </c>
      <c r="T32" s="2033"/>
      <c r="U32" s="1298"/>
      <c r="V32" s="2034"/>
      <c r="W32" s="2034"/>
      <c r="X32" s="2034"/>
      <c r="Y32" s="2034"/>
      <c r="Z32" s="2034"/>
      <c r="AA32" s="2034"/>
      <c r="AB32" s="2034"/>
      <c r="AC32" s="248"/>
      <c r="AD32" s="2034" t="str">
        <f>IF(TITLE_DATE_CHANGE_PERIOD="",IF(TITLE_DATE_PR="","",TITLE_DATE_PR),TITLE_DATE_CHANGE_PERIOD)</f>
        <v/>
      </c>
      <c r="AE32" s="2034"/>
      <c r="AF32" s="2034"/>
      <c r="AG32" s="2034"/>
      <c r="AH32" s="2034"/>
      <c r="AI32" s="2034"/>
      <c r="AJ32" s="2034"/>
      <c r="AK32" s="2034"/>
      <c r="AL32" s="2034"/>
      <c r="AM32" s="2034"/>
      <c r="AN32" s="2034"/>
      <c r="AO32" s="2034"/>
      <c r="AP32" s="2034"/>
      <c r="AQ32" s="2034"/>
      <c r="AR32" s="2034"/>
      <c r="AS32" s="2034"/>
      <c r="AT32" s="2034"/>
      <c r="AU32" s="2034"/>
      <c r="AV32" s="2034"/>
      <c r="AW32" s="2034"/>
      <c r="AX32" s="2034"/>
      <c r="AY32" s="2034"/>
      <c r="AZ32" s="2034"/>
      <c r="BA32" s="248"/>
      <c r="BB32" s="248"/>
      <c r="BC32" s="196"/>
      <c r="BD32" s="292"/>
      <c r="BE32" s="292"/>
      <c r="BF32" s="292"/>
      <c r="BG32" s="292"/>
      <c r="BH32" s="292"/>
    </row>
    <row r="33" spans="1:60" s="1781" customFormat="1" ht="18.75" hidden="1" customHeight="1">
      <c r="A33" s="1294"/>
      <c r="B33" s="1294"/>
      <c r="C33" s="1294"/>
      <c r="D33" s="1294"/>
      <c r="E33" s="1294"/>
      <c r="F33" s="1294"/>
      <c r="G33" s="1294"/>
      <c r="H33" s="1294"/>
      <c r="I33" s="1294"/>
      <c r="J33" s="1294"/>
      <c r="K33" s="1294"/>
      <c r="L33" s="1295"/>
      <c r="M33" s="1294"/>
      <c r="N33" s="1294"/>
      <c r="O33" s="1294"/>
      <c r="P33" s="1294"/>
      <c r="Q33" s="1294"/>
      <c r="S33" s="2033" t="s">
        <v>496</v>
      </c>
      <c r="T33" s="2033"/>
      <c r="U33" s="1298"/>
      <c r="V33" s="2035"/>
      <c r="W33" s="2035"/>
      <c r="X33" s="2035"/>
      <c r="Y33" s="2035"/>
      <c r="Z33" s="2035"/>
      <c r="AA33" s="2035"/>
      <c r="AB33" s="2035"/>
      <c r="AC33" s="248"/>
      <c r="AD33" s="2035" t="str">
        <f>IF(TITLE_NUMBER_PR_CHANGE="",IF(TITLE_NUMBER_PR="","",TITLE_NUMBER_PR),TITLE_NUMBER_PR_CHANGE)</f>
        <v/>
      </c>
      <c r="AE33" s="2035"/>
      <c r="AF33" s="2035"/>
      <c r="AG33" s="2035"/>
      <c r="AH33" s="2035"/>
      <c r="AI33" s="2035"/>
      <c r="AJ33" s="2035"/>
      <c r="AK33" s="2035"/>
      <c r="AL33" s="2035"/>
      <c r="AM33" s="2035"/>
      <c r="AN33" s="2035"/>
      <c r="AO33" s="2035"/>
      <c r="AP33" s="2035"/>
      <c r="AQ33" s="2035"/>
      <c r="AR33" s="2035"/>
      <c r="AS33" s="2035"/>
      <c r="AT33" s="2035"/>
      <c r="AU33" s="2035"/>
      <c r="AV33" s="2035"/>
      <c r="AW33" s="2035"/>
      <c r="AX33" s="2035"/>
      <c r="AY33" s="2035"/>
      <c r="AZ33" s="2035"/>
      <c r="BA33" s="248"/>
      <c r="BB33" s="248"/>
      <c r="BC33" s="196"/>
      <c r="BD33" s="292"/>
      <c r="BE33" s="292"/>
      <c r="BF33" s="292"/>
      <c r="BG33" s="292"/>
      <c r="BH33" s="292"/>
    </row>
    <row r="34" spans="1:60" s="1781" customFormat="1" ht="18.75" hidden="1" customHeight="1">
      <c r="A34" s="1294"/>
      <c r="B34" s="1294"/>
      <c r="C34" s="1294"/>
      <c r="D34" s="1294"/>
      <c r="E34" s="1294"/>
      <c r="F34" s="1294"/>
      <c r="G34" s="1294"/>
      <c r="H34" s="1294"/>
      <c r="I34" s="1294"/>
      <c r="J34" s="1294"/>
      <c r="K34" s="1294"/>
      <c r="L34" s="1295"/>
      <c r="M34" s="1294"/>
      <c r="N34" s="1294"/>
      <c r="O34" s="1294"/>
      <c r="P34" s="1294"/>
      <c r="Q34" s="1294"/>
      <c r="S34" s="2033" t="s">
        <v>40</v>
      </c>
      <c r="T34" s="2033"/>
      <c r="U34" s="1298"/>
      <c r="V34" s="2035"/>
      <c r="W34" s="2035"/>
      <c r="X34" s="2035"/>
      <c r="Y34" s="2035"/>
      <c r="Z34" s="2035"/>
      <c r="AA34" s="2035"/>
      <c r="AB34" s="2035"/>
      <c r="AC34" s="248"/>
      <c r="AD34" s="2035" t="str">
        <f>IF(TITLE_IST_PUB_CHANGE="",IF(TITLE_IST_PUB="","",TITLE_IST_PUB),TITLE_IST_PUB_CHANGE)</f>
        <v/>
      </c>
      <c r="AE34" s="2035"/>
      <c r="AF34" s="2035"/>
      <c r="AG34" s="2035"/>
      <c r="AH34" s="2035"/>
      <c r="AI34" s="2035"/>
      <c r="AJ34" s="2035"/>
      <c r="AK34" s="2035"/>
      <c r="AL34" s="2035"/>
      <c r="AM34" s="2035"/>
      <c r="AN34" s="2035"/>
      <c r="AO34" s="2035"/>
      <c r="AP34" s="2035"/>
      <c r="AQ34" s="2035"/>
      <c r="AR34" s="2035"/>
      <c r="AS34" s="2035"/>
      <c r="AT34" s="2035"/>
      <c r="AU34" s="2035"/>
      <c r="AV34" s="2035"/>
      <c r="AW34" s="2035"/>
      <c r="AX34" s="2035"/>
      <c r="AY34" s="2035"/>
      <c r="AZ34" s="2035"/>
      <c r="BA34" s="248"/>
      <c r="BB34" s="248"/>
      <c r="BC34" s="196"/>
      <c r="BD34" s="292"/>
      <c r="BE34" s="292"/>
      <c r="BF34" s="292"/>
      <c r="BG34" s="292"/>
      <c r="BH34" s="292"/>
    </row>
    <row r="35" spans="1:60" ht="14.25" hidden="1" customHeight="1">
      <c r="Q35" s="206"/>
      <c r="R35" s="300"/>
      <c r="S35" s="1205"/>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5"/>
    </row>
    <row r="36" spans="1:60" s="1781" customFormat="1" ht="18.75" hidden="1" customHeight="1">
      <c r="A36" s="1294"/>
      <c r="B36" s="1294"/>
      <c r="C36" s="1294"/>
      <c r="D36" s="1294"/>
      <c r="E36" s="1294"/>
      <c r="F36" s="1294"/>
      <c r="G36" s="1294"/>
      <c r="H36" s="1294"/>
      <c r="I36" s="1294"/>
      <c r="J36" s="1294"/>
      <c r="K36" s="1294"/>
      <c r="L36" s="1295"/>
      <c r="M36" s="1294"/>
      <c r="N36" s="1294"/>
      <c r="O36" s="1294"/>
      <c r="P36" s="1294"/>
      <c r="Q36" s="1294"/>
      <c r="S36" s="2033" t="s">
        <v>495</v>
      </c>
      <c r="T36" s="2033"/>
      <c r="U36" s="1298"/>
      <c r="V36" s="2034"/>
      <c r="W36" s="2034"/>
      <c r="X36" s="2034"/>
      <c r="Y36" s="2034"/>
      <c r="Z36" s="2034"/>
      <c r="AA36" s="2034"/>
      <c r="AB36" s="2034"/>
      <c r="AC36" s="248"/>
      <c r="AD36" s="2034" t="str">
        <f>IF(TITLE_DATE_CHANGE_PERIOD="",IF(TITLE_DATE_PR="","",TITLE_DATE_PR),TITLE_DATE_CHANGE_PERIOD)</f>
        <v/>
      </c>
      <c r="AE36" s="2034"/>
      <c r="AF36" s="2034"/>
      <c r="AG36" s="2034"/>
      <c r="AH36" s="2034"/>
      <c r="AI36" s="2034"/>
      <c r="AJ36" s="2034"/>
      <c r="AK36" s="2034"/>
      <c r="AL36" s="2034"/>
      <c r="AM36" s="2034"/>
      <c r="AN36" s="2034"/>
      <c r="AO36" s="2034"/>
      <c r="AP36" s="2034"/>
      <c r="AQ36" s="2034"/>
      <c r="AR36" s="2034"/>
      <c r="AS36" s="2034"/>
      <c r="AT36" s="2034"/>
      <c r="AU36" s="2034"/>
      <c r="AV36" s="2034"/>
      <c r="AW36" s="2034"/>
      <c r="AX36" s="2034"/>
      <c r="AY36" s="2034"/>
      <c r="AZ36" s="2034"/>
      <c r="BA36" s="248"/>
      <c r="BB36" s="248"/>
      <c r="BC36" s="196"/>
      <c r="BD36" s="292"/>
      <c r="BE36" s="292"/>
      <c r="BF36" s="292"/>
      <c r="BG36" s="292"/>
      <c r="BH36" s="292"/>
    </row>
    <row r="37" spans="1:60" s="1781" customFormat="1" ht="18.75" hidden="1" customHeight="1">
      <c r="A37" s="1294"/>
      <c r="B37" s="1294"/>
      <c r="C37" s="1294"/>
      <c r="D37" s="1294"/>
      <c r="E37" s="1294"/>
      <c r="F37" s="1294"/>
      <c r="G37" s="1294"/>
      <c r="H37" s="1294"/>
      <c r="I37" s="1294"/>
      <c r="J37" s="1294"/>
      <c r="K37" s="1294"/>
      <c r="L37" s="1295"/>
      <c r="M37" s="1294"/>
      <c r="N37" s="1294"/>
      <c r="O37" s="1294"/>
      <c r="P37" s="1294"/>
      <c r="Q37" s="1294"/>
      <c r="S37" s="2033" t="s">
        <v>496</v>
      </c>
      <c r="T37" s="2033"/>
      <c r="U37" s="1298"/>
      <c r="V37" s="2035"/>
      <c r="W37" s="2035"/>
      <c r="X37" s="2035"/>
      <c r="Y37" s="2035"/>
      <c r="Z37" s="2035"/>
      <c r="AA37" s="2035"/>
      <c r="AB37" s="2035"/>
      <c r="AC37" s="248"/>
      <c r="AD37" s="2035" t="str">
        <f>IF(TITLE_NUMBER_PR_CHANGE="",IF(TITLE_NUMBER_PR="","",TITLE_NUMBER_PR),TITLE_NUMBER_PR_CHANGE)</f>
        <v/>
      </c>
      <c r="AE37" s="2035"/>
      <c r="AF37" s="2035"/>
      <c r="AG37" s="2035"/>
      <c r="AH37" s="2035"/>
      <c r="AI37" s="2035"/>
      <c r="AJ37" s="2035"/>
      <c r="AK37" s="2035"/>
      <c r="AL37" s="2035"/>
      <c r="AM37" s="2035"/>
      <c r="AN37" s="2035"/>
      <c r="AO37" s="2035"/>
      <c r="AP37" s="2035"/>
      <c r="AQ37" s="2035"/>
      <c r="AR37" s="2035"/>
      <c r="AS37" s="2035"/>
      <c r="AT37" s="2035"/>
      <c r="AU37" s="2035"/>
      <c r="AV37" s="2035"/>
      <c r="AW37" s="2035"/>
      <c r="AX37" s="2035"/>
      <c r="AY37" s="2035"/>
      <c r="AZ37" s="2035"/>
      <c r="BA37" s="248"/>
      <c r="BB37" s="248"/>
      <c r="BC37" s="196"/>
      <c r="BD37" s="292"/>
      <c r="BE37" s="292"/>
      <c r="BF37" s="292"/>
      <c r="BG37" s="292"/>
      <c r="BH37" s="292"/>
    </row>
    <row r="38" spans="1:60" s="1781" customFormat="1" ht="0" hidden="1" customHeight="1">
      <c r="A38" s="1294"/>
      <c r="B38" s="1294"/>
      <c r="C38" s="1294"/>
      <c r="D38" s="1294"/>
      <c r="E38" s="1294"/>
      <c r="F38" s="1294"/>
      <c r="G38" s="1294"/>
      <c r="H38" s="1294"/>
      <c r="I38" s="1294"/>
      <c r="J38" s="1294"/>
      <c r="K38" s="1294"/>
      <c r="L38" s="1295"/>
      <c r="M38" s="1294"/>
      <c r="N38" s="1294"/>
      <c r="O38" s="1294"/>
      <c r="P38" s="1294"/>
      <c r="Q38" s="1294"/>
      <c r="S38" s="244"/>
      <c r="T38" s="244"/>
      <c r="U38" s="1377"/>
      <c r="V38" s="248"/>
      <c r="W38" s="248"/>
      <c r="X38" s="248"/>
      <c r="Y38" s="248"/>
      <c r="Z38" s="248"/>
      <c r="AA38" s="248"/>
      <c r="AB38" s="248"/>
      <c r="AC38" s="194" t="s">
        <v>499</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499</v>
      </c>
      <c r="BD38" s="292"/>
      <c r="BE38" s="292"/>
      <c r="BF38" s="292"/>
      <c r="BG38" s="292"/>
      <c r="BH38" s="292"/>
    </row>
    <row r="39" spans="1:60" ht="14.25" customHeight="1">
      <c r="Q39" s="206"/>
      <c r="R39" s="300"/>
      <c r="S39" s="1205"/>
      <c r="T39" s="286"/>
      <c r="U39" s="1163"/>
      <c r="V39" s="2053"/>
      <c r="W39" s="2053"/>
      <c r="X39" s="2053"/>
      <c r="Y39" s="2053"/>
      <c r="Z39" s="2053"/>
      <c r="AA39" s="2053"/>
      <c r="AB39" s="2053"/>
      <c r="AC39" s="2053"/>
      <c r="AD39" s="2053"/>
      <c r="AE39" s="2053"/>
      <c r="AF39" s="2053"/>
      <c r="AG39" s="2053"/>
      <c r="AH39" s="2053"/>
      <c r="AI39" s="2053"/>
      <c r="AJ39" s="2053"/>
      <c r="AK39" s="2053"/>
      <c r="AL39" s="2053"/>
      <c r="AM39" s="2053"/>
      <c r="AN39" s="2053"/>
      <c r="AO39" s="2053"/>
      <c r="AP39" s="2053"/>
      <c r="AQ39" s="2053"/>
      <c r="AR39" s="2053"/>
      <c r="AS39" s="2053"/>
      <c r="AT39" s="2053"/>
      <c r="AU39" s="2053"/>
      <c r="AV39" s="2053"/>
      <c r="AW39" s="2053"/>
      <c r="AX39" s="2053"/>
      <c r="AY39" s="2053"/>
      <c r="AZ39" s="2053"/>
      <c r="BA39" s="2053"/>
    </row>
    <row r="40" spans="1:60" ht="14.25" customHeight="1">
      <c r="Q40" s="206"/>
      <c r="R40" s="300"/>
      <c r="S40" s="1840" t="s">
        <v>282</v>
      </c>
      <c r="T40" s="1840"/>
      <c r="U40" s="1840"/>
      <c r="V40" s="1840"/>
      <c r="W40" s="1840"/>
      <c r="X40" s="1840"/>
      <c r="Y40" s="1840"/>
      <c r="Z40" s="1840"/>
      <c r="AA40" s="1840"/>
      <c r="AB40" s="1840"/>
      <c r="AC40" s="1840"/>
      <c r="AD40" s="1840"/>
      <c r="AE40" s="1840"/>
      <c r="AF40" s="1840"/>
      <c r="AG40" s="1840"/>
      <c r="AH40" s="1840"/>
      <c r="AI40" s="1840"/>
      <c r="AJ40" s="1840"/>
      <c r="AK40" s="1840"/>
      <c r="AL40" s="1840"/>
      <c r="AM40" s="1840"/>
      <c r="AN40" s="1840"/>
      <c r="AO40" s="1840"/>
      <c r="AP40" s="1840"/>
      <c r="AQ40" s="1840"/>
      <c r="AR40" s="1840"/>
      <c r="AS40" s="1840"/>
      <c r="AT40" s="1840"/>
      <c r="AU40" s="1840"/>
      <c r="AV40" s="1840"/>
      <c r="AW40" s="1840"/>
      <c r="AX40" s="1840"/>
      <c r="AY40" s="1840"/>
      <c r="AZ40" s="1840"/>
      <c r="BA40" s="1840"/>
      <c r="BB40" s="1840"/>
      <c r="BC40" s="1840" t="s">
        <v>283</v>
      </c>
    </row>
    <row r="41" spans="1:60" ht="14.25" customHeight="1">
      <c r="Q41" s="206"/>
      <c r="R41" s="300"/>
      <c r="S41" s="2054" t="s">
        <v>87</v>
      </c>
      <c r="T41" s="1925" t="s">
        <v>1713</v>
      </c>
      <c r="U41" s="215"/>
      <c r="V41" s="2055" t="s">
        <v>501</v>
      </c>
      <c r="W41" s="2056"/>
      <c r="X41" s="2056"/>
      <c r="Y41" s="2056"/>
      <c r="Z41" s="2056"/>
      <c r="AA41" s="2056"/>
      <c r="AB41" s="2057"/>
      <c r="AC41" s="2058" t="s">
        <v>502</v>
      </c>
      <c r="AD41" s="2081" t="s">
        <v>1714</v>
      </c>
      <c r="AE41" s="2070"/>
      <c r="AF41" s="2070"/>
      <c r="AG41" s="2082"/>
      <c r="AH41" s="2081" t="s">
        <v>1715</v>
      </c>
      <c r="AI41" s="2070"/>
      <c r="AJ41" s="2070"/>
      <c r="AK41" s="2082"/>
      <c r="AL41" s="2081" t="s">
        <v>1716</v>
      </c>
      <c r="AM41" s="2070"/>
      <c r="AN41" s="2070"/>
      <c r="AO41" s="2082"/>
      <c r="AP41" s="2081" t="s">
        <v>1717</v>
      </c>
      <c r="AQ41" s="2070"/>
      <c r="AR41" s="2070"/>
      <c r="AS41" s="2082"/>
      <c r="AT41" s="2055" t="s">
        <v>501</v>
      </c>
      <c r="AU41" s="2056"/>
      <c r="AV41" s="2056"/>
      <c r="AW41" s="2056"/>
      <c r="AX41" s="2056"/>
      <c r="AY41" s="2056"/>
      <c r="AZ41" s="2057"/>
      <c r="BA41" s="2058" t="s">
        <v>502</v>
      </c>
      <c r="BB41" s="2061" t="s">
        <v>504</v>
      </c>
      <c r="BC41" s="1840"/>
    </row>
    <row r="42" spans="1:60" ht="33.75" customHeight="1">
      <c r="Q42" s="206"/>
      <c r="R42" s="300"/>
      <c r="S42" s="2054"/>
      <c r="T42" s="1925"/>
      <c r="U42" s="947"/>
      <c r="V42" s="1895" t="s">
        <v>1718</v>
      </c>
      <c r="W42" s="1896"/>
      <c r="X42" s="1895" t="s">
        <v>1719</v>
      </c>
      <c r="Y42" s="1896"/>
      <c r="Z42" s="1895" t="s">
        <v>1720</v>
      </c>
      <c r="AA42" s="2075"/>
      <c r="AB42" s="1896"/>
      <c r="AC42" s="2059"/>
      <c r="AD42" s="2083"/>
      <c r="AE42" s="2084"/>
      <c r="AF42" s="2084"/>
      <c r="AG42" s="2096"/>
      <c r="AH42" s="2083"/>
      <c r="AI42" s="2084"/>
      <c r="AJ42" s="2084"/>
      <c r="AK42" s="2096"/>
      <c r="AL42" s="2083"/>
      <c r="AM42" s="2084"/>
      <c r="AN42" s="2084"/>
      <c r="AO42" s="2096"/>
      <c r="AP42" s="2083"/>
      <c r="AQ42" s="2084"/>
      <c r="AR42" s="2084"/>
      <c r="AS42" s="2096"/>
      <c r="AT42" s="1895" t="s">
        <v>1718</v>
      </c>
      <c r="AU42" s="1896"/>
      <c r="AV42" s="1895" t="s">
        <v>1719</v>
      </c>
      <c r="AW42" s="1896"/>
      <c r="AX42" s="1895" t="s">
        <v>1720</v>
      </c>
      <c r="AY42" s="2075"/>
      <c r="AZ42" s="1896"/>
      <c r="BA42" s="2059"/>
      <c r="BB42" s="2062"/>
      <c r="BC42" s="1840"/>
    </row>
    <row r="43" spans="1:60" ht="14.25" customHeight="1">
      <c r="Q43" s="206"/>
      <c r="R43" s="300"/>
      <c r="S43" s="2054"/>
      <c r="T43" s="1925"/>
      <c r="U43" s="947"/>
      <c r="V43" s="1900"/>
      <c r="W43" s="1901"/>
      <c r="X43" s="1900"/>
      <c r="Y43" s="1901"/>
      <c r="Z43" s="1900"/>
      <c r="AA43" s="2076"/>
      <c r="AB43" s="1901"/>
      <c r="AC43" s="2059"/>
      <c r="AD43" s="2083"/>
      <c r="AE43" s="2084"/>
      <c r="AF43" s="2084"/>
      <c r="AG43" s="2096"/>
      <c r="AH43" s="2083"/>
      <c r="AI43" s="2084"/>
      <c r="AJ43" s="2084"/>
      <c r="AK43" s="2096"/>
      <c r="AL43" s="2083"/>
      <c r="AM43" s="2084"/>
      <c r="AN43" s="2084"/>
      <c r="AO43" s="2096"/>
      <c r="AP43" s="2083"/>
      <c r="AQ43" s="2084"/>
      <c r="AR43" s="2084"/>
      <c r="AS43" s="2096"/>
      <c r="AT43" s="1900"/>
      <c r="AU43" s="1901"/>
      <c r="AV43" s="1900"/>
      <c r="AW43" s="1901"/>
      <c r="AX43" s="1900"/>
      <c r="AY43" s="2076"/>
      <c r="AZ43" s="1901"/>
      <c r="BA43" s="2059"/>
      <c r="BB43" s="2062"/>
      <c r="BC43" s="1840"/>
    </row>
    <row r="44" spans="1:60" ht="14.25" customHeight="1">
      <c r="A44" s="1296"/>
      <c r="B44" s="1296" t="s">
        <v>131</v>
      </c>
      <c r="C44" s="1296" t="s">
        <v>132</v>
      </c>
      <c r="D44" s="1296" t="s">
        <v>133</v>
      </c>
      <c r="E44" s="1290" t="s">
        <v>509</v>
      </c>
      <c r="F44" s="1290" t="s">
        <v>510</v>
      </c>
      <c r="G44" s="1290" t="s">
        <v>511</v>
      </c>
      <c r="H44" s="1290" t="s">
        <v>512</v>
      </c>
      <c r="I44" s="1290" t="s">
        <v>513</v>
      </c>
      <c r="J44" s="1290" t="s">
        <v>514</v>
      </c>
      <c r="K44" s="1290" t="s">
        <v>515</v>
      </c>
      <c r="L44" s="1290" t="s">
        <v>490</v>
      </c>
      <c r="Q44" s="206"/>
      <c r="R44" s="300"/>
      <c r="S44" s="2054"/>
      <c r="T44" s="1925"/>
      <c r="U44" s="216"/>
      <c r="V44" s="1371" t="s">
        <v>563</v>
      </c>
      <c r="W44" s="1371" t="s">
        <v>564</v>
      </c>
      <c r="X44" s="1371" t="s">
        <v>563</v>
      </c>
      <c r="Y44" s="1371" t="s">
        <v>564</v>
      </c>
      <c r="Z44" s="1378" t="s">
        <v>518</v>
      </c>
      <c r="AA44" s="1931" t="s">
        <v>519</v>
      </c>
      <c r="AB44" s="1945"/>
      <c r="AC44" s="2060"/>
      <c r="AD44" s="2085"/>
      <c r="AE44" s="2086"/>
      <c r="AF44" s="2086"/>
      <c r="AG44" s="2087"/>
      <c r="AH44" s="2085"/>
      <c r="AI44" s="2086"/>
      <c r="AJ44" s="2086"/>
      <c r="AK44" s="2087"/>
      <c r="AL44" s="2085"/>
      <c r="AM44" s="2086"/>
      <c r="AN44" s="2086"/>
      <c r="AO44" s="2087"/>
      <c r="AP44" s="2085"/>
      <c r="AQ44" s="2086"/>
      <c r="AR44" s="2086"/>
      <c r="AS44" s="2087"/>
      <c r="AT44" s="1371" t="s">
        <v>563</v>
      </c>
      <c r="AU44" s="1371" t="s">
        <v>564</v>
      </c>
      <c r="AV44" s="1371" t="s">
        <v>563</v>
      </c>
      <c r="AW44" s="1371" t="s">
        <v>564</v>
      </c>
      <c r="AX44" s="1378" t="s">
        <v>518</v>
      </c>
      <c r="AY44" s="1931" t="s">
        <v>519</v>
      </c>
      <c r="AZ44" s="1945"/>
      <c r="BA44" s="2060"/>
      <c r="BB44" s="2063"/>
      <c r="BC44" s="1840"/>
    </row>
    <row r="45" spans="1:60" s="1566" customFormat="1" ht="11.25" hidden="1" customHeight="1">
      <c r="A45" s="1296"/>
      <c r="B45" s="1296"/>
      <c r="C45" s="1296"/>
      <c r="D45" s="1296"/>
      <c r="E45" s="1296"/>
      <c r="F45" s="1296"/>
      <c r="G45" s="1296"/>
      <c r="H45" s="1296"/>
      <c r="I45" s="1296"/>
      <c r="J45" s="1296"/>
      <c r="K45" s="1296"/>
      <c r="L45" s="1290"/>
      <c r="M45" s="1288"/>
      <c r="N45" s="1288"/>
      <c r="O45" s="1288"/>
      <c r="P45" s="436"/>
      <c r="Q45" s="1181"/>
      <c r="R45" s="1181">
        <v>1</v>
      </c>
      <c r="S45" s="1207" t="s">
        <v>105</v>
      </c>
      <c r="T45" s="1182" t="s">
        <v>106</v>
      </c>
      <c r="U45" s="1164" t="str">
        <f ca="1">OFFSET(U45,0,-1)</f>
        <v>2</v>
      </c>
      <c r="V45" s="1374">
        <f t="shared" ref="V45:AA45" ca="1" si="2">OFFSET(V45,0,-1)+1</f>
        <v>3</v>
      </c>
      <c r="W45" s="1374">
        <f t="shared" ca="1" si="2"/>
        <v>4</v>
      </c>
      <c r="X45" s="1374">
        <f t="shared" ca="1" si="2"/>
        <v>5</v>
      </c>
      <c r="Y45" s="1374">
        <f t="shared" ca="1" si="2"/>
        <v>6</v>
      </c>
      <c r="Z45" s="1374">
        <f t="shared" ca="1" si="2"/>
        <v>7</v>
      </c>
      <c r="AA45" s="2052">
        <f t="shared" ca="1" si="2"/>
        <v>8</v>
      </c>
      <c r="AB45" s="2052"/>
      <c r="AC45" s="1374">
        <f ca="1">OFFSET(AC45,0,-2)+1</f>
        <v>9</v>
      </c>
      <c r="AD45" s="1374">
        <f ca="1">OFFSET(AD45,0,-1)+1</f>
        <v>10</v>
      </c>
      <c r="AE45" s="1374"/>
      <c r="AF45" s="1374"/>
      <c r="AG45" s="1374"/>
      <c r="AH45" s="1374"/>
      <c r="AI45" s="1374"/>
      <c r="AJ45" s="1374"/>
      <c r="AK45" s="1374"/>
      <c r="AL45" s="1374"/>
      <c r="AM45" s="1374"/>
      <c r="AN45" s="1374"/>
      <c r="AO45" s="1374"/>
      <c r="AP45" s="1374"/>
      <c r="AQ45" s="1374"/>
      <c r="AR45" s="1374"/>
      <c r="AS45" s="1374"/>
      <c r="AT45" s="1374"/>
      <c r="AU45" s="1374"/>
      <c r="AV45" s="1374"/>
      <c r="AW45" s="1374">
        <f ca="1">OFFSET(AW45,0,-1)+1</f>
        <v>1</v>
      </c>
      <c r="AX45" s="1374">
        <f ca="1">OFFSET(AX45,0,-1)+1</f>
        <v>2</v>
      </c>
      <c r="AY45" s="2052">
        <f ca="1">OFFSET(AY45,0,-1)+1</f>
        <v>3</v>
      </c>
      <c r="AZ45" s="2052"/>
      <c r="BA45" s="1374">
        <f ca="1">OFFSET(BA45,0,-2)+1</f>
        <v>4</v>
      </c>
      <c r="BB45" s="1164">
        <f ca="1">OFFSET(BB45,0,-1)</f>
        <v>4</v>
      </c>
      <c r="BC45" s="1374">
        <f ca="1">OFFSET(BC45,0,-1)+1</f>
        <v>5</v>
      </c>
      <c r="BD45" s="437"/>
      <c r="BE45" s="437"/>
      <c r="BF45" s="437"/>
      <c r="BG45" s="437"/>
      <c r="BH45" s="437"/>
    </row>
    <row r="46" spans="1:60" ht="21" customHeight="1">
      <c r="A46" s="1289" t="s">
        <v>228</v>
      </c>
      <c r="B46" s="1289"/>
      <c r="C46" s="1289"/>
      <c r="D46" s="1289"/>
      <c r="E46" s="2042">
        <v>1</v>
      </c>
      <c r="F46" s="1289"/>
      <c r="G46" s="1289"/>
      <c r="H46" s="1289"/>
      <c r="I46" s="1289"/>
      <c r="J46" s="1289"/>
      <c r="K46" s="1289"/>
      <c r="L46" s="1290"/>
      <c r="M46" s="1291"/>
      <c r="N46" s="1291"/>
      <c r="O46" s="1291"/>
      <c r="P46" s="1335"/>
      <c r="Q46" s="790"/>
      <c r="R46" s="276"/>
      <c r="S46" s="1380">
        <f>INDEX(PT_DIFFERENTIATION_NUM_NTAR,MATCH(A46,PT_DIFFERENTIATION_NTAR_ID,0))</f>
        <v>0</v>
      </c>
      <c r="T46" s="212" t="s">
        <v>119</v>
      </c>
      <c r="U46" s="214"/>
      <c r="V46" s="2037"/>
      <c r="W46" s="2037"/>
      <c r="X46" s="2037"/>
      <c r="Y46" s="2037"/>
      <c r="Z46" s="2037"/>
      <c r="AA46" s="2037"/>
      <c r="AB46" s="2037"/>
      <c r="AC46" s="2038"/>
      <c r="AD46" s="2036" t="str">
        <f>INDEX(PT_DIFFERENTIATION_NTAR,MATCH(A46,PT_DIFFERENTIATION_NTAR_ID,0))</f>
        <v/>
      </c>
      <c r="AE46" s="2037"/>
      <c r="AF46" s="2037"/>
      <c r="AG46" s="2037"/>
      <c r="AH46" s="2037"/>
      <c r="AI46" s="2037"/>
      <c r="AJ46" s="2037"/>
      <c r="AK46" s="2037"/>
      <c r="AL46" s="2037"/>
      <c r="AM46" s="2037"/>
      <c r="AN46" s="2037"/>
      <c r="AO46" s="2037"/>
      <c r="AP46" s="2037"/>
      <c r="AQ46" s="2037"/>
      <c r="AR46" s="2037"/>
      <c r="AS46" s="2037"/>
      <c r="AT46" s="2037"/>
      <c r="AU46" s="2037"/>
      <c r="AV46" s="2037"/>
      <c r="AW46" s="2037"/>
      <c r="AX46" s="2037"/>
      <c r="AY46" s="2037"/>
      <c r="AZ46" s="2037"/>
      <c r="BA46" s="2037"/>
      <c r="BB46" s="2038"/>
      <c r="BC46"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9" t="s">
        <v>228</v>
      </c>
      <c r="B47" s="1289" t="s">
        <v>229</v>
      </c>
      <c r="C47" s="1289"/>
      <c r="D47" s="1289"/>
      <c r="E47" s="2043"/>
      <c r="F47" s="2042">
        <v>1</v>
      </c>
      <c r="G47" s="1289"/>
      <c r="H47" s="1289"/>
      <c r="I47" s="1289"/>
      <c r="J47" s="1289"/>
      <c r="K47" s="1289"/>
      <c r="L47" s="1290"/>
      <c r="M47" s="1291"/>
      <c r="N47" s="1291"/>
      <c r="O47" s="1291"/>
      <c r="P47" s="1336"/>
      <c r="Q47" s="1337"/>
      <c r="R47" s="274"/>
      <c r="S47" s="1380" t="str">
        <f>INDEX(PT_DIFFERENTIATION_NUM_TER,MATCH(B47,PT_DIFFERENTIATION_TER_ID,0))</f>
        <v>.</v>
      </c>
      <c r="T47" s="224" t="s">
        <v>472</v>
      </c>
      <c r="U47" s="214"/>
      <c r="V47" s="2037"/>
      <c r="W47" s="2037"/>
      <c r="X47" s="2037"/>
      <c r="Y47" s="2037"/>
      <c r="Z47" s="2037"/>
      <c r="AA47" s="2037"/>
      <c r="AB47" s="2037"/>
      <c r="AC47" s="2038"/>
      <c r="AD47" s="2036" t="str">
        <f>INDEX(PT_DIFFERENTIATION_TER,MATCH(B47,PT_DIFFERENTIATION_TER_ID,0))</f>
        <v/>
      </c>
      <c r="AE47" s="2037"/>
      <c r="AF47" s="2037"/>
      <c r="AG47" s="2037"/>
      <c r="AH47" s="2037"/>
      <c r="AI47" s="2037"/>
      <c r="AJ47" s="2037"/>
      <c r="AK47" s="2037"/>
      <c r="AL47" s="2037"/>
      <c r="AM47" s="2037"/>
      <c r="AN47" s="2037"/>
      <c r="AO47" s="2037"/>
      <c r="AP47" s="2037"/>
      <c r="AQ47" s="2037"/>
      <c r="AR47" s="2037"/>
      <c r="AS47" s="2037"/>
      <c r="AT47" s="2037"/>
      <c r="AU47" s="2037"/>
      <c r="AV47" s="2037"/>
      <c r="AW47" s="2037"/>
      <c r="AX47" s="2037"/>
      <c r="AY47" s="2037"/>
      <c r="AZ47" s="2037"/>
      <c r="BA47" s="2037"/>
      <c r="BB47" s="2038"/>
      <c r="BC47" s="1187" t="s">
        <v>473</v>
      </c>
      <c r="BE47" s="426"/>
      <c r="BF47" s="426" t="str">
        <f t="shared" si="3"/>
        <v>Территория действия тарифа</v>
      </c>
      <c r="BG47" s="426"/>
      <c r="BH47" s="426"/>
    </row>
    <row r="48" spans="1:60" ht="42" customHeight="1">
      <c r="A48" s="1289" t="s">
        <v>228</v>
      </c>
      <c r="B48" s="1289" t="s">
        <v>229</v>
      </c>
      <c r="C48" s="1289" t="s">
        <v>230</v>
      </c>
      <c r="D48" s="1289"/>
      <c r="E48" s="2043"/>
      <c r="F48" s="2043"/>
      <c r="G48" s="2042">
        <v>1</v>
      </c>
      <c r="H48" s="1289"/>
      <c r="I48" s="1289"/>
      <c r="J48" s="1289"/>
      <c r="K48" s="1289"/>
      <c r="L48" s="1290"/>
      <c r="M48" s="1291"/>
      <c r="N48" s="1291"/>
      <c r="O48" s="1291"/>
      <c r="P48" s="1338"/>
      <c r="Q48" s="1337"/>
      <c r="R48" s="274"/>
      <c r="S48" s="1380" t="str">
        <f>INDEX(PT_DIFFERENTIATION_NUM_CS,MATCH(C48,PT_DIFFERENTIATION_CS_ID,0))</f>
        <v>..</v>
      </c>
      <c r="T48" s="225" t="s">
        <v>1687</v>
      </c>
      <c r="U48" s="214"/>
      <c r="V48" s="2037"/>
      <c r="W48" s="2037"/>
      <c r="X48" s="2037"/>
      <c r="Y48" s="2037"/>
      <c r="Z48" s="2037"/>
      <c r="AA48" s="2037"/>
      <c r="AB48" s="2037"/>
      <c r="AC48" s="2038"/>
      <c r="AD48" s="2036" t="str">
        <f>INDEX(PT_DIFFERENTIATION_CS,MATCH(C48,PT_DIFFERENTIATION_CS_ID,0))</f>
        <v/>
      </c>
      <c r="AE48" s="2037"/>
      <c r="AF48" s="2037"/>
      <c r="AG48" s="2037"/>
      <c r="AH48" s="2037"/>
      <c r="AI48" s="2037"/>
      <c r="AJ48" s="2037"/>
      <c r="AK48" s="2037"/>
      <c r="AL48" s="2037"/>
      <c r="AM48" s="2037"/>
      <c r="AN48" s="2037"/>
      <c r="AO48" s="2037"/>
      <c r="AP48" s="2037"/>
      <c r="AQ48" s="2037"/>
      <c r="AR48" s="2037"/>
      <c r="AS48" s="2037"/>
      <c r="AT48" s="2037"/>
      <c r="AU48" s="2037"/>
      <c r="AV48" s="2037"/>
      <c r="AW48" s="2037"/>
      <c r="AX48" s="2037"/>
      <c r="AY48" s="2037"/>
      <c r="AZ48" s="2037"/>
      <c r="BA48" s="2037"/>
      <c r="BB48" s="2038"/>
      <c r="BC48" s="1187" t="s">
        <v>1688</v>
      </c>
      <c r="BE48" s="426"/>
      <c r="BF48" s="426" t="str">
        <f t="shared" si="3"/>
        <v>Наименование централизованной системы холодного водоснабжения</v>
      </c>
      <c r="BG48" s="426"/>
      <c r="BH48" s="426"/>
    </row>
    <row r="49" spans="1:60" s="1567" customFormat="1" ht="0" hidden="1" customHeight="1">
      <c r="A49" s="1270" t="s">
        <v>228</v>
      </c>
      <c r="B49" s="1270" t="s">
        <v>229</v>
      </c>
      <c r="C49" s="1270" t="s">
        <v>230</v>
      </c>
      <c r="D49" s="1270" t="s">
        <v>1721</v>
      </c>
      <c r="E49" s="2043"/>
      <c r="F49" s="2043"/>
      <c r="G49" s="2043"/>
      <c r="H49" s="2042">
        <v>1</v>
      </c>
      <c r="I49" s="1270"/>
      <c r="J49" s="1270"/>
      <c r="K49" s="1270"/>
      <c r="L49" s="1273"/>
      <c r="M49" s="1243"/>
      <c r="N49" s="1243"/>
      <c r="O49" s="1243"/>
      <c r="P49" s="1417"/>
      <c r="Q49" s="1418"/>
      <c r="R49" s="278"/>
      <c r="S49" s="958"/>
      <c r="T49" s="1419"/>
      <c r="U49" s="1310"/>
      <c r="V49" s="2072"/>
      <c r="W49" s="2072"/>
      <c r="X49" s="2072"/>
      <c r="Y49" s="2072"/>
      <c r="Z49" s="2072"/>
      <c r="AA49" s="2072"/>
      <c r="AB49" s="2072"/>
      <c r="AC49" s="2073"/>
      <c r="AD49" s="2071"/>
      <c r="AE49" s="2072"/>
      <c r="AF49" s="2072"/>
      <c r="AG49" s="2072"/>
      <c r="AH49" s="2072"/>
      <c r="AI49" s="2072"/>
      <c r="AJ49" s="2072"/>
      <c r="AK49" s="2072"/>
      <c r="AL49" s="2072"/>
      <c r="AM49" s="2072"/>
      <c r="AN49" s="2072"/>
      <c r="AO49" s="2072"/>
      <c r="AP49" s="2072"/>
      <c r="AQ49" s="2072"/>
      <c r="AR49" s="2072"/>
      <c r="AS49" s="2072"/>
      <c r="AT49" s="2072"/>
      <c r="AU49" s="2072"/>
      <c r="AV49" s="2072"/>
      <c r="AW49" s="2072"/>
      <c r="AX49" s="2072"/>
      <c r="AY49" s="2072"/>
      <c r="AZ49" s="2072"/>
      <c r="BA49" s="2072"/>
      <c r="BB49" s="2073"/>
      <c r="BC49" s="1311" t="s">
        <v>477</v>
      </c>
      <c r="BE49" s="426"/>
      <c r="BF49" s="426" t="str">
        <f t="shared" si="3"/>
        <v/>
      </c>
      <c r="BG49" s="426"/>
      <c r="BH49" s="426"/>
    </row>
    <row r="50" spans="1:60" s="1567" customFormat="1" ht="0" hidden="1" customHeight="1">
      <c r="A50" s="1270" t="s">
        <v>228</v>
      </c>
      <c r="B50" s="1270" t="s">
        <v>229</v>
      </c>
      <c r="C50" s="1270" t="s">
        <v>230</v>
      </c>
      <c r="D50" s="1270" t="s">
        <v>1721</v>
      </c>
      <c r="E50" s="2043"/>
      <c r="F50" s="2043"/>
      <c r="G50" s="2043"/>
      <c r="H50" s="2043"/>
      <c r="I50" s="2044" t="str">
        <f>S49&amp;".1"</f>
        <v>.1</v>
      </c>
      <c r="J50" s="1270"/>
      <c r="K50" s="1270"/>
      <c r="L50" s="1273" t="s">
        <v>478</v>
      </c>
      <c r="M50" s="436"/>
      <c r="N50" s="436"/>
      <c r="O50" s="436"/>
      <c r="P50" s="1961">
        <v>1</v>
      </c>
      <c r="Q50" s="1384"/>
      <c r="R50" s="277"/>
      <c r="S50" s="958"/>
      <c r="T50" s="1309"/>
      <c r="U50" s="1310"/>
      <c r="V50" s="2072"/>
      <c r="W50" s="2072"/>
      <c r="X50" s="2072"/>
      <c r="Y50" s="2072"/>
      <c r="Z50" s="2072"/>
      <c r="AA50" s="2072"/>
      <c r="AB50" s="2072"/>
      <c r="AC50" s="2073"/>
      <c r="AD50" s="2071"/>
      <c r="AE50" s="2072"/>
      <c r="AF50" s="2072"/>
      <c r="AG50" s="2072"/>
      <c r="AH50" s="2072"/>
      <c r="AI50" s="2072"/>
      <c r="AJ50" s="2072"/>
      <c r="AK50" s="2072"/>
      <c r="AL50" s="2072"/>
      <c r="AM50" s="2072"/>
      <c r="AN50" s="2072"/>
      <c r="AO50" s="2072"/>
      <c r="AP50" s="2072"/>
      <c r="AQ50" s="2072"/>
      <c r="AR50" s="2072"/>
      <c r="AS50" s="2072"/>
      <c r="AT50" s="2072"/>
      <c r="AU50" s="2072"/>
      <c r="AV50" s="2072"/>
      <c r="AW50" s="2072"/>
      <c r="AX50" s="2072"/>
      <c r="AY50" s="2072"/>
      <c r="AZ50" s="2072"/>
      <c r="BA50" s="2072"/>
      <c r="BB50" s="2073"/>
      <c r="BC50" s="1311"/>
      <c r="BE50" s="426"/>
      <c r="BF50" s="426" t="str">
        <f t="shared" si="3"/>
        <v/>
      </c>
      <c r="BG50" s="426"/>
      <c r="BH50" s="426"/>
    </row>
    <row r="51" spans="1:60" s="1567" customFormat="1" ht="0" hidden="1" customHeight="1">
      <c r="A51" s="1270" t="s">
        <v>228</v>
      </c>
      <c r="B51" s="1270" t="s">
        <v>229</v>
      </c>
      <c r="C51" s="1270" t="s">
        <v>230</v>
      </c>
      <c r="D51" s="1270" t="s">
        <v>1721</v>
      </c>
      <c r="E51" s="2043"/>
      <c r="F51" s="2043"/>
      <c r="G51" s="2043"/>
      <c r="H51" s="2043"/>
      <c r="I51" s="2045"/>
      <c r="J51" s="2044" t="str">
        <f>S49&amp;".1"</f>
        <v>.1</v>
      </c>
      <c r="K51" s="1270"/>
      <c r="L51" s="1273"/>
      <c r="M51" s="436"/>
      <c r="N51" s="436"/>
      <c r="O51" s="436"/>
      <c r="P51" s="1961"/>
      <c r="Q51" s="1961">
        <v>1</v>
      </c>
      <c r="R51" s="278"/>
      <c r="S51" s="958"/>
      <c r="T51" s="1325"/>
      <c r="U51" s="1310"/>
      <c r="V51" s="2072"/>
      <c r="W51" s="2072"/>
      <c r="X51" s="2072"/>
      <c r="Y51" s="2072"/>
      <c r="Z51" s="2072"/>
      <c r="AA51" s="2072"/>
      <c r="AB51" s="2072"/>
      <c r="AC51" s="2073"/>
      <c r="AD51" s="2071"/>
      <c r="AE51" s="2072"/>
      <c r="AF51" s="2072"/>
      <c r="AG51" s="2072"/>
      <c r="AH51" s="2072"/>
      <c r="AI51" s="2072"/>
      <c r="AJ51" s="2072"/>
      <c r="AK51" s="2072"/>
      <c r="AL51" s="2072"/>
      <c r="AM51" s="2072"/>
      <c r="AN51" s="2157"/>
      <c r="AO51" s="2157"/>
      <c r="AP51" s="2072"/>
      <c r="AQ51" s="2072"/>
      <c r="AR51" s="2072"/>
      <c r="AS51" s="2072"/>
      <c r="AT51" s="2072"/>
      <c r="AU51" s="2072"/>
      <c r="AV51" s="2072"/>
      <c r="AW51" s="2072"/>
      <c r="AX51" s="2072"/>
      <c r="AY51" s="2072"/>
      <c r="AZ51" s="2072"/>
      <c r="BA51" s="2072"/>
      <c r="BB51" s="2073"/>
      <c r="BC51" s="1311"/>
      <c r="BE51" s="426"/>
      <c r="BF51" s="426" t="str">
        <f t="shared" si="3"/>
        <v/>
      </c>
      <c r="BG51" s="426"/>
      <c r="BH51" s="426"/>
    </row>
    <row r="52" spans="1:60" ht="11.25" customHeight="1">
      <c r="A52" s="1289" t="s">
        <v>228</v>
      </c>
      <c r="B52" s="1289" t="s">
        <v>229</v>
      </c>
      <c r="C52" s="1289" t="s">
        <v>230</v>
      </c>
      <c r="D52" s="1289" t="s">
        <v>1721</v>
      </c>
      <c r="E52" s="2043"/>
      <c r="F52" s="2043"/>
      <c r="G52" s="2043"/>
      <c r="H52" s="2043"/>
      <c r="I52" s="2045"/>
      <c r="J52" s="2045"/>
      <c r="K52" s="2044" t="str">
        <f>S48&amp;".1"</f>
        <v>...1</v>
      </c>
      <c r="L52" s="1290"/>
      <c r="P52" s="1961"/>
      <c r="Q52" s="1961"/>
      <c r="R52" s="278">
        <v>1</v>
      </c>
      <c r="S52" s="2092" t="str">
        <f>$K52</f>
        <v>...1</v>
      </c>
      <c r="T52" s="2151"/>
      <c r="U52" s="214"/>
      <c r="V52" s="669"/>
      <c r="W52" s="1186"/>
      <c r="X52" s="669"/>
      <c r="Y52" s="1186"/>
      <c r="Z52" s="1658"/>
      <c r="AA52" s="1382" t="s">
        <v>58</v>
      </c>
      <c r="AB52" s="1658"/>
      <c r="AC52" s="1382" t="s">
        <v>58</v>
      </c>
      <c r="AD52" s="1907" t="s">
        <v>58</v>
      </c>
      <c r="AE52" s="2088"/>
      <c r="AF52" s="1920">
        <v>1</v>
      </c>
      <c r="AG52" s="2150"/>
      <c r="AH52" s="1850" t="s">
        <v>58</v>
      </c>
      <c r="AI52" s="2088"/>
      <c r="AJ52" s="1920">
        <v>1</v>
      </c>
      <c r="AK52" s="2149" t="s">
        <v>18</v>
      </c>
      <c r="AL52" s="1850" t="s">
        <v>58</v>
      </c>
      <c r="AM52" s="1895"/>
      <c r="AN52" s="1920">
        <v>1</v>
      </c>
      <c r="AO52" s="2154"/>
      <c r="AP52" s="2155" t="s">
        <v>58</v>
      </c>
      <c r="AQ52" s="227"/>
      <c r="AR52" s="1385">
        <v>1</v>
      </c>
      <c r="AS52" s="1388" t="s">
        <v>18</v>
      </c>
      <c r="AT52" s="669"/>
      <c r="AU52" s="1186"/>
      <c r="AV52" s="669"/>
      <c r="AW52" s="1186"/>
      <c r="AX52" s="1658"/>
      <c r="AY52" s="1382" t="s">
        <v>58</v>
      </c>
      <c r="AZ52" s="1658"/>
      <c r="BA52" s="1382" t="s">
        <v>58</v>
      </c>
      <c r="BB52" s="1275"/>
      <c r="BC52" s="2064" t="s">
        <v>1707</v>
      </c>
      <c r="BE52" s="426"/>
      <c r="BF52" s="426" t="str">
        <f t="shared" si="3"/>
        <v/>
      </c>
      <c r="BG52" s="426"/>
      <c r="BH52" s="426"/>
    </row>
    <row r="53" spans="1:60" ht="11.25" customHeight="1">
      <c r="A53" s="1289"/>
      <c r="B53" s="1289"/>
      <c r="C53" s="1289"/>
      <c r="D53" s="1289"/>
      <c r="E53" s="2043"/>
      <c r="F53" s="2043"/>
      <c r="G53" s="2043"/>
      <c r="H53" s="2043"/>
      <c r="I53" s="2045"/>
      <c r="J53" s="2045"/>
      <c r="K53" s="2044"/>
      <c r="L53" s="1290"/>
      <c r="P53" s="1961"/>
      <c r="Q53" s="1961"/>
      <c r="R53" s="278"/>
      <c r="S53" s="2093"/>
      <c r="T53" s="2152"/>
      <c r="U53" s="214"/>
      <c r="V53" s="1319"/>
      <c r="W53" s="1416"/>
      <c r="X53" s="1319"/>
      <c r="Y53" s="1416"/>
      <c r="Z53" s="1319"/>
      <c r="AA53" s="1319"/>
      <c r="AB53" s="1319"/>
      <c r="AC53" s="1319"/>
      <c r="AD53" s="1908"/>
      <c r="AE53" s="2088"/>
      <c r="AF53" s="1920"/>
      <c r="AG53" s="2150"/>
      <c r="AH53" s="1850"/>
      <c r="AI53" s="2088"/>
      <c r="AJ53" s="1920"/>
      <c r="AK53" s="2149"/>
      <c r="AL53" s="1850"/>
      <c r="AM53" s="1900"/>
      <c r="AN53" s="1920"/>
      <c r="AO53" s="2154"/>
      <c r="AP53" s="2156"/>
      <c r="AQ53" s="234"/>
      <c r="AR53" s="346"/>
      <c r="AS53" s="346" t="s">
        <v>1708</v>
      </c>
      <c r="AT53" s="1319"/>
      <c r="AU53" s="1416"/>
      <c r="AV53" s="1319"/>
      <c r="AW53" s="1416"/>
      <c r="AX53" s="1319"/>
      <c r="AY53" s="1319"/>
      <c r="AZ53" s="1319"/>
      <c r="BA53" s="1319"/>
      <c r="BB53" s="1323"/>
      <c r="BC53" s="2065"/>
      <c r="BE53" s="426"/>
      <c r="BF53" s="426"/>
      <c r="BG53" s="426"/>
      <c r="BH53" s="426"/>
    </row>
    <row r="54" spans="1:60" ht="11.25" customHeight="1">
      <c r="A54" s="1289" t="s">
        <v>228</v>
      </c>
      <c r="B54" s="1289"/>
      <c r="C54" s="1289"/>
      <c r="D54" s="1289"/>
      <c r="E54" s="2043"/>
      <c r="F54" s="2043"/>
      <c r="G54" s="2043"/>
      <c r="H54" s="2043"/>
      <c r="I54" s="2045"/>
      <c r="J54" s="2045"/>
      <c r="K54" s="2044"/>
      <c r="L54" s="1290"/>
      <c r="P54" s="1961"/>
      <c r="Q54" s="1961"/>
      <c r="R54" s="278"/>
      <c r="S54" s="2093"/>
      <c r="T54" s="2152"/>
      <c r="U54" s="214"/>
      <c r="V54" s="1319"/>
      <c r="W54" s="1416"/>
      <c r="X54" s="1319"/>
      <c r="Y54" s="1416"/>
      <c r="Z54" s="1319"/>
      <c r="AA54" s="1319"/>
      <c r="AB54" s="1319"/>
      <c r="AC54" s="1319"/>
      <c r="AD54" s="1908"/>
      <c r="AE54" s="2088"/>
      <c r="AF54" s="1920"/>
      <c r="AG54" s="2150"/>
      <c r="AH54" s="1850"/>
      <c r="AI54" s="2088"/>
      <c r="AJ54" s="1920"/>
      <c r="AK54" s="2149"/>
      <c r="AL54" s="1850"/>
      <c r="AM54" s="234"/>
      <c r="AN54" s="1420"/>
      <c r="AO54" s="1420" t="s">
        <v>1709</v>
      </c>
      <c r="AP54" s="346"/>
      <c r="AQ54" s="346"/>
      <c r="AR54" s="346"/>
      <c r="AS54" s="1319"/>
      <c r="AT54" s="1319"/>
      <c r="AU54" s="1416"/>
      <c r="AV54" s="1319"/>
      <c r="AW54" s="1416"/>
      <c r="AX54" s="1319"/>
      <c r="AY54" s="1319"/>
      <c r="AZ54" s="1319"/>
      <c r="BA54" s="1319"/>
      <c r="BB54" s="1323"/>
      <c r="BC54" s="2065"/>
      <c r="BE54" s="426"/>
      <c r="BF54" s="426"/>
      <c r="BG54" s="426"/>
      <c r="BH54" s="426"/>
    </row>
    <row r="55" spans="1:60" ht="11.25" customHeight="1">
      <c r="A55" s="1289" t="s">
        <v>228</v>
      </c>
      <c r="B55" s="1289"/>
      <c r="C55" s="1289"/>
      <c r="D55" s="1289"/>
      <c r="E55" s="2043"/>
      <c r="F55" s="2043"/>
      <c r="G55" s="2043"/>
      <c r="H55" s="2043"/>
      <c r="I55" s="2045"/>
      <c r="J55" s="2045"/>
      <c r="K55" s="2044"/>
      <c r="L55" s="1290"/>
      <c r="P55" s="1961"/>
      <c r="Q55" s="1961"/>
      <c r="R55" s="278"/>
      <c r="S55" s="2093"/>
      <c r="T55" s="2152"/>
      <c r="U55" s="214"/>
      <c r="V55" s="1319"/>
      <c r="W55" s="1416"/>
      <c r="X55" s="1319"/>
      <c r="Y55" s="1416"/>
      <c r="Z55" s="1319"/>
      <c r="AA55" s="1319"/>
      <c r="AB55" s="1319"/>
      <c r="AC55" s="1319"/>
      <c r="AD55" s="1908"/>
      <c r="AE55" s="2088"/>
      <c r="AF55" s="1920"/>
      <c r="AG55" s="2150"/>
      <c r="AH55" s="1850"/>
      <c r="AI55" s="208"/>
      <c r="AJ55" s="345"/>
      <c r="AK55" s="229" t="s">
        <v>1710</v>
      </c>
      <c r="AL55" s="1319"/>
      <c r="AM55" s="1319"/>
      <c r="AN55" s="1319"/>
      <c r="AO55" s="1319"/>
      <c r="AP55" s="1319"/>
      <c r="AQ55" s="1319"/>
      <c r="AR55" s="1319"/>
      <c r="AS55" s="1319"/>
      <c r="AT55" s="1319"/>
      <c r="AU55" s="1416"/>
      <c r="AV55" s="1319"/>
      <c r="AW55" s="1416"/>
      <c r="AX55" s="1319"/>
      <c r="AY55" s="1319"/>
      <c r="AZ55" s="1319"/>
      <c r="BA55" s="1319"/>
      <c r="BB55" s="1323"/>
      <c r="BC55" s="2065"/>
      <c r="BE55" s="426"/>
      <c r="BF55" s="426"/>
      <c r="BG55" s="426"/>
      <c r="BH55" s="426"/>
    </row>
    <row r="56" spans="1:60" ht="11.25" customHeight="1">
      <c r="A56" s="1289" t="s">
        <v>228</v>
      </c>
      <c r="B56" s="1289" t="s">
        <v>229</v>
      </c>
      <c r="C56" s="1289" t="s">
        <v>230</v>
      </c>
      <c r="D56" s="1289" t="s">
        <v>1721</v>
      </c>
      <c r="E56" s="2043"/>
      <c r="F56" s="2043"/>
      <c r="G56" s="2043"/>
      <c r="H56" s="2043"/>
      <c r="I56" s="2045"/>
      <c r="J56" s="2045"/>
      <c r="K56" s="2044"/>
      <c r="L56" s="1290"/>
      <c r="P56" s="1961"/>
      <c r="Q56" s="1961"/>
      <c r="R56" s="278"/>
      <c r="S56" s="2094"/>
      <c r="T56" s="2153"/>
      <c r="U56" s="214"/>
      <c r="V56" s="1319"/>
      <c r="W56" s="1320" t="str">
        <f>Z52&amp;"-"&amp;AB52</f>
        <v>-</v>
      </c>
      <c r="X56" s="1319"/>
      <c r="Y56" s="1320" t="str">
        <f>AB52&amp;"-"&amp;AD52</f>
        <v>-да</v>
      </c>
      <c r="Z56" s="1319"/>
      <c r="AA56" s="1319"/>
      <c r="AB56" s="1319"/>
      <c r="AC56" s="1319"/>
      <c r="AD56" s="1855"/>
      <c r="AE56" s="228"/>
      <c r="AF56" s="230"/>
      <c r="AG56" s="346" t="s">
        <v>1711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065"/>
      <c r="BE56" s="426"/>
      <c r="BF56" s="426" t="str">
        <f t="shared" ref="BF56:BF63" si="4">IF(T56="","",T56)</f>
        <v/>
      </c>
      <c r="BG56" s="426"/>
      <c r="BH56" s="426"/>
    </row>
    <row r="57" spans="1:60" ht="11.25" customHeight="1">
      <c r="A57" s="1289" t="s">
        <v>228</v>
      </c>
      <c r="B57" s="1289" t="s">
        <v>229</v>
      </c>
      <c r="C57" s="1289" t="s">
        <v>230</v>
      </c>
      <c r="D57" s="1289" t="s">
        <v>1721</v>
      </c>
      <c r="E57" s="2043"/>
      <c r="F57" s="2043"/>
      <c r="G57" s="2043"/>
      <c r="H57" s="2043"/>
      <c r="I57" s="2045"/>
      <c r="J57" s="2044"/>
      <c r="K57" s="1289"/>
      <c r="L57" s="1290"/>
      <c r="P57" s="1961"/>
      <c r="Q57" s="1961"/>
      <c r="R57" s="277"/>
      <c r="S57" s="1208"/>
      <c r="T57" s="202" t="s">
        <v>552</v>
      </c>
      <c r="U57" s="291"/>
      <c r="V57" s="291"/>
      <c r="W57" s="291"/>
      <c r="X57" s="291"/>
      <c r="Y57" s="291"/>
      <c r="Z57" s="291"/>
      <c r="AA57" s="291"/>
      <c r="AB57" s="291"/>
      <c r="AC57" s="245"/>
      <c r="AD57" s="1425"/>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2066"/>
      <c r="BE57" s="426"/>
      <c r="BF57" s="426" t="str">
        <f t="shared" si="4"/>
        <v>Добавить строку</v>
      </c>
      <c r="BG57" s="426"/>
      <c r="BH57" s="426"/>
    </row>
    <row r="58" spans="1:60" s="1567" customFormat="1" ht="0" hidden="1" customHeight="1">
      <c r="A58" s="1270" t="s">
        <v>228</v>
      </c>
      <c r="B58" s="1270" t="s">
        <v>229</v>
      </c>
      <c r="C58" s="1270" t="s">
        <v>230</v>
      </c>
      <c r="D58" s="1270" t="s">
        <v>1721</v>
      </c>
      <c r="E58" s="2043"/>
      <c r="F58" s="2043"/>
      <c r="G58" s="2043"/>
      <c r="H58" s="2043"/>
      <c r="I58" s="2044"/>
      <c r="J58" s="1270"/>
      <c r="K58" s="1270"/>
      <c r="L58" s="1273"/>
      <c r="M58" s="436"/>
      <c r="N58" s="436"/>
      <c r="O58" s="436"/>
      <c r="P58" s="1961"/>
      <c r="Q58" s="1384"/>
      <c r="R58" s="277"/>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26"/>
      <c r="BF58" s="426" t="str">
        <f t="shared" si="4"/>
        <v/>
      </c>
      <c r="BG58" s="426"/>
      <c r="BH58" s="426"/>
    </row>
    <row r="59" spans="1:60" s="1567" customFormat="1" ht="0" hidden="1" customHeight="1">
      <c r="A59" s="1270" t="s">
        <v>228</v>
      </c>
      <c r="B59" s="1270" t="s">
        <v>229</v>
      </c>
      <c r="C59" s="1270" t="s">
        <v>230</v>
      </c>
      <c r="D59" s="1270" t="s">
        <v>1721</v>
      </c>
      <c r="E59" s="2043"/>
      <c r="F59" s="2043"/>
      <c r="G59" s="2043"/>
      <c r="H59" s="2042"/>
      <c r="I59" s="1270"/>
      <c r="J59" s="1270"/>
      <c r="K59" s="1270"/>
      <c r="L59" s="1273"/>
      <c r="M59" s="1243"/>
      <c r="N59" s="1243"/>
      <c r="O59" s="444"/>
      <c r="P59" s="308"/>
      <c r="Q59" s="1271"/>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26"/>
      <c r="BF59" s="426" t="str">
        <f t="shared" si="4"/>
        <v/>
      </c>
      <c r="BG59" s="426"/>
      <c r="BH59" s="426"/>
    </row>
    <row r="60" spans="1:60" s="1567" customFormat="1" ht="0" hidden="1" customHeight="1">
      <c r="A60" s="1270" t="s">
        <v>228</v>
      </c>
      <c r="B60" s="1270" t="s">
        <v>229</v>
      </c>
      <c r="C60" s="1270" t="s">
        <v>230</v>
      </c>
      <c r="D60" s="1242"/>
      <c r="E60" s="2043"/>
      <c r="F60" s="2043"/>
      <c r="G60" s="2042"/>
      <c r="H60" s="1242"/>
      <c r="I60" s="1242"/>
      <c r="J60" s="1242"/>
      <c r="K60" s="1242"/>
      <c r="L60" s="1386"/>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07"/>
      <c r="BF60" s="707" t="str">
        <f t="shared" si="4"/>
        <v/>
      </c>
      <c r="BG60" s="707"/>
      <c r="BH60" s="707"/>
    </row>
    <row r="61" spans="1:60" s="1567" customFormat="1" ht="0" hidden="1" customHeight="1">
      <c r="A61" s="1270" t="s">
        <v>228</v>
      </c>
      <c r="B61" s="1270" t="s">
        <v>229</v>
      </c>
      <c r="C61" s="1242"/>
      <c r="D61" s="1242"/>
      <c r="E61" s="2043"/>
      <c r="F61" s="2042"/>
      <c r="G61" s="1242"/>
      <c r="H61" s="1242"/>
      <c r="I61" s="1242"/>
      <c r="J61" s="1242"/>
      <c r="K61" s="1242"/>
      <c r="L61" s="1386"/>
      <c r="M61" s="1249"/>
      <c r="N61" s="1249"/>
      <c r="P61" s="1244"/>
      <c r="Q61" s="1245"/>
      <c r="R61" s="1244"/>
      <c r="S61" s="1250"/>
      <c r="T61" s="1253" t="s">
        <v>446</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07"/>
      <c r="BF61" s="707" t="str">
        <f t="shared" si="4"/>
        <v>Добавить централизованную систему для дифференциации</v>
      </c>
      <c r="BG61" s="707"/>
      <c r="BH61" s="707"/>
    </row>
    <row r="62" spans="1:60" s="1567" customFormat="1" ht="0" hidden="1" customHeight="1">
      <c r="A62" s="1270" t="s">
        <v>228</v>
      </c>
      <c r="B62" s="1270"/>
      <c r="C62" s="1270"/>
      <c r="D62" s="1270"/>
      <c r="E62" s="2042"/>
      <c r="F62" s="1270"/>
      <c r="G62" s="1270"/>
      <c r="H62" s="1270"/>
      <c r="I62" s="1270"/>
      <c r="J62" s="1270"/>
      <c r="K62" s="1270"/>
      <c r="L62" s="1273"/>
      <c r="M62" s="1249"/>
      <c r="N62" s="1249"/>
      <c r="O62" s="444"/>
      <c r="P62" s="308"/>
      <c r="Q62" s="1271"/>
      <c r="R62" s="308"/>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26"/>
      <c r="BF62" s="426" t="str">
        <f t="shared" si="4"/>
        <v>Добавить территорию для дифференциации</v>
      </c>
      <c r="BG62" s="426"/>
      <c r="BH62" s="426"/>
    </row>
    <row r="63" spans="1:60" s="1567" customFormat="1" ht="0" hidden="1" customHeight="1">
      <c r="A63" s="1242"/>
      <c r="B63" s="1242"/>
      <c r="C63" s="1242"/>
      <c r="D63" s="1242"/>
      <c r="E63" s="1270"/>
      <c r="F63" s="1242"/>
      <c r="G63" s="1242"/>
      <c r="H63" s="1242"/>
      <c r="I63" s="1242"/>
      <c r="J63" s="1242"/>
      <c r="K63" s="1242"/>
      <c r="L63" s="1386"/>
      <c r="M63" s="1249"/>
      <c r="N63" s="1249"/>
      <c r="P63" s="1244"/>
      <c r="Q63" s="1245"/>
      <c r="R63" s="1244"/>
      <c r="S63" s="1250"/>
      <c r="T63" s="1253" t="s">
        <v>448</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07"/>
      <c r="BF63" s="707" t="str">
        <f t="shared" si="4"/>
        <v>Добавить наименование тарифа</v>
      </c>
      <c r="BG63" s="707"/>
      <c r="BH63" s="707"/>
    </row>
    <row r="64" spans="1:60" ht="11.25" hidden="1" customHeight="1">
      <c r="M64" s="1070"/>
      <c r="N64" s="1070"/>
      <c r="O64" s="462"/>
      <c r="P64" s="1070"/>
      <c r="Q64" s="1070"/>
      <c r="R64" s="1065"/>
      <c r="S64" s="1065"/>
      <c r="BD64" s="1065"/>
      <c r="BE64" s="1065"/>
      <c r="BF64" s="1065"/>
      <c r="BG64" s="1065"/>
      <c r="BH64" s="1065"/>
    </row>
    <row r="65" spans="15:55" ht="18.75" hidden="1" customHeight="1">
      <c r="O65" s="462"/>
      <c r="S65" s="1174" t="s">
        <v>520</v>
      </c>
      <c r="T65" s="2041" t="s">
        <v>1722</v>
      </c>
      <c r="U65" s="2041"/>
      <c r="V65" s="2041"/>
      <c r="W65" s="2041"/>
      <c r="X65" s="2041"/>
      <c r="Y65" s="2041"/>
      <c r="Z65" s="2041"/>
      <c r="AA65" s="2041"/>
      <c r="AB65" s="2041"/>
      <c r="AC65" s="2041"/>
      <c r="AD65" s="2041"/>
      <c r="AE65" s="2041"/>
      <c r="AF65" s="2041"/>
      <c r="AG65" s="2041"/>
      <c r="AH65" s="2041"/>
      <c r="AI65" s="2041"/>
      <c r="AJ65" s="2041"/>
      <c r="AK65" s="2041"/>
      <c r="AL65" s="2041"/>
      <c r="AM65" s="2041"/>
      <c r="AN65" s="2041"/>
      <c r="AO65" s="2041"/>
      <c r="AP65" s="2041"/>
      <c r="AQ65" s="2041"/>
      <c r="AR65" s="2041"/>
      <c r="AS65" s="2041"/>
      <c r="AT65" s="2041"/>
      <c r="AU65" s="2041"/>
      <c r="AV65" s="2041"/>
      <c r="AW65" s="2041"/>
      <c r="AX65" s="2041"/>
      <c r="AY65" s="2041"/>
      <c r="AZ65" s="2041"/>
      <c r="BA65" s="2041"/>
      <c r="BB65" s="2041"/>
      <c r="BC65" s="2041"/>
    </row>
    <row r="66" spans="15:55" ht="14.25" hidden="1" customHeight="1">
      <c r="O66" s="462"/>
      <c r="T66" s="1372"/>
      <c r="U66" s="1372"/>
      <c r="V66" s="1372"/>
      <c r="W66" s="1372"/>
      <c r="X66" s="1372"/>
      <c r="Y66" s="1372"/>
      <c r="Z66" s="1372"/>
      <c r="AA66" s="1372"/>
      <c r="AB66" s="1372"/>
      <c r="AC66" s="1372"/>
      <c r="AD66" s="1372"/>
      <c r="AE66" s="1372"/>
      <c r="AF66" s="1372"/>
      <c r="AG66" s="1372"/>
      <c r="AH66" s="1372"/>
      <c r="AI66" s="1372"/>
      <c r="AJ66" s="1372"/>
      <c r="AK66" s="1372"/>
      <c r="AL66" s="1372"/>
      <c r="AM66" s="1372"/>
      <c r="AN66" s="1372"/>
      <c r="AO66" s="1372"/>
      <c r="AP66" s="1372"/>
      <c r="AQ66" s="1372"/>
      <c r="AR66" s="1372"/>
      <c r="AS66" s="1372"/>
      <c r="AT66" s="1372"/>
      <c r="AU66" s="1372"/>
      <c r="AV66" s="1372"/>
      <c r="AW66" s="1372"/>
      <c r="AX66" s="1372"/>
      <c r="AY66" s="1372"/>
      <c r="AZ66" s="1372"/>
      <c r="BA66" s="1372"/>
      <c r="BB66" s="1372"/>
      <c r="BC66" s="1372"/>
    </row>
    <row r="67" spans="15:55" ht="18.75" hidden="1" customHeight="1">
      <c r="O67" s="462"/>
      <c r="S67" s="1174" t="s">
        <v>520</v>
      </c>
      <c r="T67" s="2041" t="s">
        <v>1723</v>
      </c>
      <c r="U67" s="2041"/>
      <c r="V67" s="2041"/>
      <c r="W67" s="2041"/>
      <c r="X67" s="2041"/>
      <c r="Y67" s="2041"/>
      <c r="Z67" s="2041"/>
      <c r="AA67" s="2041"/>
      <c r="AB67" s="2041"/>
      <c r="AC67" s="2041"/>
      <c r="AD67" s="2041"/>
      <c r="AE67" s="2041"/>
      <c r="AF67" s="2041"/>
      <c r="AG67" s="2041"/>
      <c r="AH67" s="2041"/>
      <c r="AI67" s="2041"/>
      <c r="AJ67" s="2041"/>
      <c r="AK67" s="2041"/>
      <c r="AL67" s="2041"/>
      <c r="AM67" s="2041"/>
      <c r="AN67" s="2041"/>
      <c r="AO67" s="2041"/>
      <c r="AP67" s="2041"/>
      <c r="AQ67" s="2041"/>
      <c r="AR67" s="2041"/>
      <c r="AS67" s="2041"/>
      <c r="AT67" s="2041"/>
      <c r="AU67" s="2041"/>
      <c r="AV67" s="2041"/>
      <c r="AW67" s="2041"/>
      <c r="AX67" s="2041"/>
      <c r="AY67" s="2041"/>
      <c r="AZ67" s="2041"/>
      <c r="BA67" s="2041"/>
      <c r="BB67" s="2041"/>
      <c r="BC67" s="2041"/>
    </row>
    <row r="68" spans="15:55" ht="14.25" customHeight="1">
      <c r="O68" s="462"/>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09765625" defaultRowHeight="11.25" customHeight="1"/>
  <cols>
    <col min="1" max="1" width="6.3984375" style="1781" hidden="1" customWidth="1"/>
    <col min="2" max="2" width="2" style="1781" hidden="1" customWidth="1"/>
    <col min="3" max="3" width="3.69921875" style="1781" customWidth="1"/>
    <col min="4" max="4" width="4.296875" style="1781" customWidth="1"/>
    <col min="5" max="5" width="45" style="1781" customWidth="1"/>
    <col min="6" max="6" width="6.3984375" style="1781" customWidth="1"/>
    <col min="7" max="7" width="4.3984375" style="1781" customWidth="1"/>
    <col min="8" max="8" width="5.59765625" style="1781" customWidth="1"/>
    <col min="9" max="9" width="52.796875" style="1781" customWidth="1"/>
    <col min="10" max="10" width="7" style="1781" customWidth="1"/>
    <col min="11" max="11" width="3.69921875" style="1781" customWidth="1"/>
    <col min="12" max="12" width="6.296875" style="1781" customWidth="1"/>
    <col min="13" max="13" width="56.296875" style="1781" customWidth="1"/>
    <col min="14" max="14" width="9.09765625" style="1296"/>
    <col min="15" max="20" width="9.09765625" style="1549" hidden="1"/>
    <col min="21" max="24" width="9.09765625" style="1195" hidden="1"/>
    <col min="25" max="37" width="9.09765625" style="1296" hidden="1"/>
    <col min="38" max="38" width="9.09765625" style="1296"/>
  </cols>
  <sheetData>
    <row r="1" spans="1:38" ht="11.25" hidden="1" customHeight="1"/>
    <row r="2" spans="1:38" ht="11.25" hidden="1" customHeight="1"/>
    <row r="4" spans="1:38" ht="34.5" customHeight="1">
      <c r="A4" s="509"/>
      <c r="B4" s="509"/>
      <c r="D4" s="1833" t="str">
        <f>Титульный!E5</f>
        <v>Общая информация о регулируемой организации (холодного водоснабжения)</v>
      </c>
      <c r="E4" s="1834"/>
      <c r="F4" s="1834"/>
      <c r="G4" s="1834"/>
      <c r="H4" s="1834"/>
      <c r="I4" s="1835"/>
      <c r="J4" s="508"/>
      <c r="K4" s="508"/>
      <c r="L4" s="508"/>
      <c r="M4" s="508"/>
    </row>
    <row r="5" spans="1:38" s="512" customFormat="1" ht="15" customHeight="1">
      <c r="A5" s="509"/>
      <c r="B5" s="509"/>
      <c r="C5" s="509"/>
      <c r="D5" s="1836" t="str">
        <f>IF(org=0,"Не определено",org)</f>
        <v>НАО "СВЕЗА Мантурово"</v>
      </c>
      <c r="E5" s="1837"/>
      <c r="F5" s="1837"/>
      <c r="G5" s="1837"/>
      <c r="H5" s="1837"/>
      <c r="I5" s="1838"/>
      <c r="J5" s="510"/>
      <c r="K5" s="510"/>
      <c r="L5" s="510"/>
      <c r="M5" s="510"/>
      <c r="N5" s="510"/>
      <c r="O5" s="787"/>
      <c r="P5" s="787"/>
      <c r="Q5" s="787"/>
      <c r="R5" s="787"/>
      <c r="S5" s="787"/>
      <c r="T5" s="787"/>
      <c r="U5" s="1191"/>
      <c r="V5" s="1191"/>
      <c r="W5" s="1191"/>
      <c r="X5" s="1191"/>
      <c r="Y5" s="510"/>
      <c r="Z5" s="510"/>
      <c r="AA5" s="510"/>
      <c r="AB5" s="510"/>
      <c r="AC5" s="510"/>
      <c r="AD5" s="510"/>
      <c r="AE5" s="510"/>
      <c r="AF5" s="510"/>
      <c r="AG5" s="510"/>
      <c r="AH5" s="510"/>
      <c r="AI5" s="510"/>
      <c r="AJ5" s="510"/>
      <c r="AK5" s="510"/>
      <c r="AL5" s="510"/>
    </row>
    <row r="6" spans="1:38" s="512" customFormat="1" ht="6" customHeight="1">
      <c r="A6" s="1825"/>
      <c r="B6" s="1825"/>
      <c r="C6" s="1825"/>
      <c r="D6" s="1825"/>
      <c r="E6" s="1825"/>
      <c r="F6" s="1825"/>
      <c r="G6" s="511"/>
      <c r="H6" s="511"/>
      <c r="I6" s="511"/>
      <c r="J6" s="511"/>
      <c r="K6" s="511"/>
      <c r="N6" s="513"/>
      <c r="O6" s="1340"/>
      <c r="P6" s="1340"/>
      <c r="Q6" s="1340"/>
      <c r="R6" s="1340"/>
      <c r="S6" s="1340"/>
      <c r="T6" s="1340"/>
      <c r="U6" s="1193"/>
      <c r="V6" s="1193"/>
      <c r="W6" s="1193"/>
      <c r="X6" s="1193"/>
      <c r="Y6" s="513"/>
      <c r="Z6" s="513"/>
      <c r="AA6" s="513"/>
      <c r="AB6" s="513"/>
      <c r="AC6" s="513"/>
      <c r="AD6" s="513"/>
      <c r="AE6" s="513"/>
      <c r="AF6" s="513"/>
      <c r="AG6" s="513"/>
      <c r="AH6" s="513"/>
      <c r="AI6" s="513"/>
      <c r="AJ6" s="513"/>
      <c r="AK6" s="513"/>
      <c r="AL6" s="513"/>
    </row>
    <row r="7" spans="1:38" ht="45.75" hidden="1" customHeight="1">
      <c r="E7" s="184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44"/>
      <c r="G7" s="1844"/>
      <c r="H7" s="1844"/>
      <c r="I7" s="1844"/>
      <c r="J7" s="1844"/>
      <c r="K7" s="1844"/>
      <c r="L7" s="1844"/>
      <c r="M7" s="1844"/>
    </row>
    <row r="8" spans="1:38" s="512" customFormat="1" ht="6" customHeight="1">
      <c r="A8" s="514"/>
      <c r="B8" s="514"/>
      <c r="C8" s="514"/>
      <c r="D8" s="514"/>
      <c r="E8" s="514"/>
      <c r="F8" s="514"/>
      <c r="G8" s="514"/>
      <c r="H8" s="514"/>
      <c r="I8" s="514"/>
      <c r="J8" s="514"/>
      <c r="K8" s="514"/>
      <c r="L8" s="514"/>
      <c r="N8" s="510"/>
      <c r="O8" s="787"/>
      <c r="P8" s="787"/>
      <c r="Q8" s="787"/>
      <c r="R8" s="787"/>
      <c r="S8" s="787"/>
      <c r="T8" s="787"/>
      <c r="U8" s="1191"/>
      <c r="V8" s="1191"/>
      <c r="W8" s="1191"/>
      <c r="X8" s="1191"/>
      <c r="Y8" s="510"/>
      <c r="Z8" s="510"/>
      <c r="AA8" s="510"/>
      <c r="AB8" s="510"/>
      <c r="AC8" s="510"/>
      <c r="AD8" s="510"/>
      <c r="AE8" s="510"/>
      <c r="AF8" s="510"/>
      <c r="AG8" s="510"/>
      <c r="AH8" s="510"/>
      <c r="AI8" s="510"/>
      <c r="AJ8" s="510"/>
      <c r="AK8" s="510"/>
      <c r="AL8" s="510"/>
    </row>
    <row r="9" spans="1:38" ht="18" customHeight="1">
      <c r="A9" s="1839"/>
      <c r="B9" s="244"/>
      <c r="C9" s="244"/>
      <c r="D9" s="1840" t="s">
        <v>101</v>
      </c>
      <c r="E9" s="1840"/>
      <c r="F9" s="1841" t="s">
        <v>102</v>
      </c>
      <c r="G9" s="1842"/>
      <c r="H9" s="1842"/>
      <c r="I9" s="1842"/>
      <c r="J9" s="1845" t="s">
        <v>103</v>
      </c>
      <c r="K9" s="1845"/>
      <c r="L9" s="1845"/>
      <c r="M9" s="1845"/>
    </row>
    <row r="10" spans="1:38" ht="22.5" customHeight="1">
      <c r="A10" s="1839"/>
      <c r="B10" s="515"/>
      <c r="C10" s="451"/>
      <c r="D10" s="449" t="s">
        <v>87</v>
      </c>
      <c r="E10" s="449" t="s">
        <v>88</v>
      </c>
      <c r="F10" s="449" t="s">
        <v>104</v>
      </c>
      <c r="G10" s="1846" t="s">
        <v>87</v>
      </c>
      <c r="H10" s="1847"/>
      <c r="I10" s="449" t="s">
        <v>88</v>
      </c>
      <c r="J10" s="449" t="s">
        <v>104</v>
      </c>
      <c r="K10" s="1846" t="s">
        <v>87</v>
      </c>
      <c r="L10" s="1847"/>
      <c r="M10" s="449" t="s">
        <v>88</v>
      </c>
      <c r="N10" s="1552"/>
    </row>
    <row r="11" spans="1:38" s="1781" customFormat="1" ht="11.25" hidden="1" customHeight="1">
      <c r="A11" s="516"/>
      <c r="B11" s="516"/>
      <c r="C11" s="516"/>
      <c r="D11" s="517" t="s">
        <v>105</v>
      </c>
      <c r="E11" s="517" t="s">
        <v>106</v>
      </c>
      <c r="F11" s="517" t="s">
        <v>89</v>
      </c>
      <c r="G11" s="1829" t="s">
        <v>90</v>
      </c>
      <c r="H11" s="1830"/>
      <c r="I11" s="517" t="s">
        <v>107</v>
      </c>
      <c r="J11" s="517" t="s">
        <v>91</v>
      </c>
      <c r="K11" s="1831" t="s">
        <v>92</v>
      </c>
      <c r="L11" s="1832"/>
      <c r="M11" s="517" t="s">
        <v>108</v>
      </c>
      <c r="N11" s="1551"/>
      <c r="O11" s="1339"/>
      <c r="P11" s="1341"/>
      <c r="Q11" s="1341"/>
      <c r="R11" s="1341"/>
      <c r="S11" s="1341"/>
      <c r="T11" s="1341"/>
      <c r="U11" s="1194"/>
      <c r="V11" s="1194"/>
      <c r="W11" s="1194"/>
      <c r="X11" s="1194"/>
      <c r="Y11" s="518"/>
      <c r="Z11" s="518"/>
      <c r="AA11" s="518"/>
      <c r="AB11" s="518"/>
      <c r="AC11" s="518"/>
      <c r="AD11" s="518"/>
      <c r="AE11" s="518"/>
      <c r="AF11" s="518"/>
      <c r="AG11" s="518"/>
      <c r="AH11" s="518"/>
      <c r="AI11" s="518"/>
      <c r="AJ11" s="518"/>
      <c r="AK11" s="518"/>
      <c r="AL11" s="518"/>
    </row>
    <row r="12" spans="1:38" ht="0.75" customHeight="1">
      <c r="A12" s="519"/>
      <c r="B12" s="520"/>
      <c r="C12" s="520"/>
      <c r="D12" s="521"/>
      <c r="E12" s="291"/>
      <c r="F12" s="522"/>
      <c r="G12" s="975"/>
      <c r="H12" s="975"/>
      <c r="I12" s="522"/>
      <c r="J12" s="522"/>
      <c r="K12" s="92"/>
      <c r="L12" s="291"/>
      <c r="M12" s="523"/>
      <c r="N12" s="1552"/>
      <c r="O12" s="1339" t="s">
        <v>109</v>
      </c>
      <c r="P12" s="1339" t="s">
        <v>110</v>
      </c>
      <c r="Q12" s="1339" t="s">
        <v>111</v>
      </c>
      <c r="R12" s="1339" t="s">
        <v>112</v>
      </c>
    </row>
    <row r="13" spans="1:38" s="1781" customFormat="1" ht="15" customHeight="1">
      <c r="A13"/>
      <c r="B13"/>
      <c r="C13" s="452"/>
      <c r="D13" s="1851" t="s">
        <v>105</v>
      </c>
      <c r="E13" s="1852"/>
      <c r="F13" s="1855" t="s">
        <v>58</v>
      </c>
      <c r="G13" s="1856"/>
      <c r="H13" s="1857">
        <v>1</v>
      </c>
      <c r="I13" s="1848" t="str">
        <f>IF(U13="","",INDEX(TERRITORY_MR_LIST,MATCH(U13,TERRITORY_LIST_ID,0)))</f>
        <v/>
      </c>
      <c r="J13" s="1850" t="s">
        <v>56</v>
      </c>
      <c r="K13" s="524"/>
      <c r="L13" s="453" t="s">
        <v>105</v>
      </c>
      <c r="M13" s="525" t="s">
        <v>18</v>
      </c>
      <c r="N13" s="730"/>
      <c r="O13" s="1342" t="s">
        <v>113</v>
      </c>
      <c r="P13" s="1339">
        <f>$E$13</f>
        <v>0</v>
      </c>
      <c r="Q13" s="1339" t="str">
        <f>IF($F$13="нет","без дифференциации",$I$13)</f>
        <v/>
      </c>
      <c r="R13" s="1339" t="str">
        <f>IF($J$13="нет","без дифференциации",M13)</f>
        <v>без дифференциации</v>
      </c>
      <c r="S13" s="1342"/>
      <c r="T13" s="1342"/>
      <c r="U13" s="1195"/>
      <c r="V13" s="1195"/>
      <c r="W13" s="1195"/>
      <c r="X13" s="1195"/>
      <c r="Y13" s="526" t="s">
        <v>114</v>
      </c>
      <c r="Z13" s="526">
        <v>1705000</v>
      </c>
      <c r="AA13" s="526"/>
      <c r="AB13" s="526"/>
      <c r="AC13" s="526"/>
      <c r="AD13" s="526"/>
      <c r="AE13" s="526"/>
      <c r="AF13" s="526"/>
      <c r="AG13" s="526"/>
      <c r="AH13" s="526"/>
      <c r="AI13" s="526"/>
      <c r="AJ13" s="526"/>
      <c r="AK13" s="526"/>
      <c r="AL13" s="526"/>
    </row>
    <row r="14" spans="1:38" s="1781" customFormat="1" ht="15" customHeight="1">
      <c r="A14"/>
      <c r="B14"/>
      <c r="C14" s="94"/>
      <c r="D14" s="1851"/>
      <c r="E14" s="1853"/>
      <c r="F14" s="1850"/>
      <c r="G14" s="1856"/>
      <c r="H14" s="1857"/>
      <c r="I14" s="1849"/>
      <c r="J14" s="1850"/>
      <c r="K14" s="350"/>
      <c r="L14" s="95"/>
      <c r="M14" s="528" t="s">
        <v>115</v>
      </c>
      <c r="N14" s="730"/>
      <c r="O14" s="1342"/>
      <c r="P14" s="1339"/>
      <c r="Q14" s="1339"/>
      <c r="R14" s="1339"/>
      <c r="S14" s="1342"/>
      <c r="T14" s="1342"/>
      <c r="U14" s="1195"/>
      <c r="V14" s="1195"/>
      <c r="W14" s="1195"/>
      <c r="X14" s="1195"/>
      <c r="Y14" s="526"/>
      <c r="Z14" s="526"/>
      <c r="AA14" s="526"/>
      <c r="AB14" s="526"/>
      <c r="AC14" s="526"/>
      <c r="AD14" s="526"/>
      <c r="AE14" s="526"/>
      <c r="AF14" s="526"/>
      <c r="AG14" s="526"/>
      <c r="AH14" s="526"/>
      <c r="AI14" s="526"/>
      <c r="AJ14" s="526"/>
      <c r="AK14" s="526"/>
      <c r="AL14" s="526"/>
    </row>
    <row r="15" spans="1:38" s="1781" customFormat="1" ht="15" customHeight="1">
      <c r="A15"/>
      <c r="B15"/>
      <c r="C15" s="94"/>
      <c r="D15" s="1851"/>
      <c r="E15" s="1854"/>
      <c r="F15" s="1850"/>
      <c r="G15" s="976"/>
      <c r="H15" s="977"/>
      <c r="I15" s="505" t="s">
        <v>116</v>
      </c>
      <c r="J15" s="95"/>
      <c r="K15" s="95"/>
      <c r="L15" s="95"/>
      <c r="M15" s="529"/>
      <c r="N15" s="730"/>
      <c r="O15" s="1342"/>
      <c r="P15" s="1339"/>
      <c r="Q15" s="1339"/>
      <c r="R15" s="1339"/>
      <c r="S15" s="1342"/>
      <c r="T15" s="1342"/>
      <c r="U15" s="1195"/>
      <c r="V15" s="1195"/>
      <c r="W15" s="1195"/>
      <c r="X15" s="1195"/>
      <c r="Y15" s="526"/>
      <c r="Z15" s="526"/>
      <c r="AA15" s="526"/>
      <c r="AB15" s="526"/>
      <c r="AC15" s="526"/>
      <c r="AD15" s="526"/>
      <c r="AE15" s="526"/>
      <c r="AF15" s="526"/>
      <c r="AG15" s="526"/>
      <c r="AH15" s="526"/>
      <c r="AI15" s="526"/>
      <c r="AJ15" s="526"/>
      <c r="AK15" s="526"/>
      <c r="AL15" s="526"/>
    </row>
    <row r="16" spans="1:38" ht="15" customHeight="1">
      <c r="A16" s="530"/>
      <c r="B16" s="57"/>
      <c r="C16" s="724"/>
      <c r="D16" s="350"/>
      <c r="E16" s="496" t="s">
        <v>117</v>
      </c>
      <c r="F16" s="95"/>
      <c r="G16" s="95"/>
      <c r="H16" s="95"/>
      <c r="I16" s="95"/>
      <c r="J16" s="95"/>
      <c r="K16" s="95" t="s">
        <v>18</v>
      </c>
      <c r="L16" s="95"/>
      <c r="M16" s="529"/>
      <c r="N16" s="1552"/>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903" hidden="1" customWidth="1"/>
    <col min="2" max="2" width="16.796875" style="1292" hidden="1" customWidth="1"/>
    <col min="3" max="3" width="5.59765625" style="1567" hidden="1" customWidth="1"/>
    <col min="4" max="4" width="3.69921875" style="1560" customWidth="1"/>
    <col min="5" max="5" width="7.69921875" style="1560" customWidth="1"/>
    <col min="6" max="6" width="54.59765625" style="1560" customWidth="1"/>
    <col min="7" max="7" width="10.3984375" style="1560" customWidth="1"/>
    <col min="8" max="8" width="40.69921875" style="1560" hidden="1" customWidth="1"/>
    <col min="9" max="9" width="40.69921875" style="1560" customWidth="1"/>
    <col min="10" max="10" width="102.796875" style="1560" customWidth="1"/>
    <col min="11" max="11" width="9.69921875" style="1292" customWidth="1"/>
    <col min="12" max="12" width="5.296875" style="1567" customWidth="1"/>
    <col min="13" max="13" width="3.69921875" style="1567" customWidth="1"/>
    <col min="14" max="17" width="3.69921875" style="1292" customWidth="1"/>
    <col min="18" max="18" width="10.59765625" style="1567" customWidth="1"/>
    <col min="19" max="19" width="34.69921875" style="1292" customWidth="1"/>
    <col min="20" max="20" width="9.3984375" style="1292" customWidth="1"/>
    <col min="21" max="21" width="9.09765625" style="656"/>
    <col min="22" max="26" width="9.09765625" style="1292"/>
    <col min="27" max="31" width="9.09765625" style="1557"/>
  </cols>
  <sheetData>
    <row r="1" spans="1:31" ht="11.25" hidden="1" customHeight="1"/>
    <row r="2" spans="1:31" ht="23.25" hidden="1" customHeight="1">
      <c r="B2" s="1825"/>
      <c r="C2" s="1077" t="s">
        <v>1724</v>
      </c>
      <c r="D2" s="1563"/>
      <c r="E2" s="471">
        <f>B2</f>
        <v>0</v>
      </c>
      <c r="F2" s="472"/>
      <c r="G2" s="1571" t="s">
        <v>440</v>
      </c>
      <c r="H2" s="1571" t="s">
        <v>440</v>
      </c>
      <c r="I2" s="1571" t="s">
        <v>440</v>
      </c>
      <c r="J2" s="204" t="s">
        <v>1725</v>
      </c>
      <c r="K2" s="468"/>
    </row>
    <row r="3" spans="1:31" s="1567" customFormat="1" ht="0.75" hidden="1" customHeight="1">
      <c r="B3" s="1825"/>
      <c r="C3" s="1077"/>
      <c r="D3" s="473"/>
      <c r="E3" s="474"/>
      <c r="F3" s="475" t="s">
        <v>1726</v>
      </c>
      <c r="G3" s="476"/>
      <c r="H3" s="476">
        <f>H4*H5+H7</f>
        <v>0</v>
      </c>
      <c r="I3" s="476">
        <f>I4*I5+I6</f>
        <v>0</v>
      </c>
      <c r="J3" s="477"/>
    </row>
    <row r="4" spans="1:31" ht="23.25" hidden="1" customHeight="1">
      <c r="B4" s="1825"/>
      <c r="C4" s="1077"/>
      <c r="D4" s="1563"/>
      <c r="E4" s="471" t="str">
        <f>B2&amp;".1"</f>
        <v>.1</v>
      </c>
      <c r="F4" s="478" t="s">
        <v>1727</v>
      </c>
      <c r="G4" s="479"/>
      <c r="H4" s="466"/>
      <c r="I4" s="466"/>
      <c r="J4" s="204" t="s">
        <v>1728</v>
      </c>
      <c r="K4" s="468"/>
    </row>
    <row r="5" spans="1:31" ht="18.75" hidden="1" customHeight="1">
      <c r="B5" s="1825"/>
      <c r="C5" s="1077"/>
      <c r="D5" s="1563"/>
      <c r="E5" s="471" t="str">
        <f>B2&amp;".2"</f>
        <v>.2</v>
      </c>
      <c r="F5" s="478" t="s">
        <v>1729</v>
      </c>
      <c r="G5" s="1571" t="s">
        <v>1730</v>
      </c>
      <c r="H5" s="466"/>
      <c r="I5" s="466"/>
      <c r="J5" s="204"/>
      <c r="K5" s="468"/>
    </row>
    <row r="6" spans="1:31" ht="18.75" hidden="1" customHeight="1">
      <c r="B6" s="1825"/>
      <c r="C6" s="1077"/>
      <c r="D6" s="1563"/>
      <c r="E6" s="471" t="str">
        <f>B2&amp;".3"</f>
        <v>.3</v>
      </c>
      <c r="F6" s="478" t="s">
        <v>1731</v>
      </c>
      <c r="G6" s="1571" t="s">
        <v>1730</v>
      </c>
      <c r="H6" s="466"/>
      <c r="I6" s="466"/>
      <c r="J6" s="204"/>
      <c r="K6" s="468"/>
    </row>
    <row r="7" spans="1:31" ht="18.75" hidden="1" customHeight="1">
      <c r="B7" s="1825"/>
      <c r="C7" s="1077"/>
      <c r="D7" s="1563"/>
      <c r="E7" s="471" t="str">
        <f>B2&amp;".4"</f>
        <v>.4</v>
      </c>
      <c r="F7" s="478" t="s">
        <v>1732</v>
      </c>
      <c r="G7" s="1571" t="s">
        <v>440</v>
      </c>
      <c r="H7" s="480"/>
      <c r="I7" s="480"/>
      <c r="J7" s="204"/>
      <c r="K7" s="468"/>
    </row>
    <row r="8" spans="1:31" s="1292" customFormat="1" ht="11.25" hidden="1" customHeight="1">
      <c r="A8" s="903"/>
      <c r="C8" s="1561"/>
      <c r="D8" s="462"/>
      <c r="H8" s="1070">
        <v>4</v>
      </c>
      <c r="I8" s="1070">
        <v>4</v>
      </c>
      <c r="L8" s="1561"/>
      <c r="M8" s="1561"/>
      <c r="R8" s="1561"/>
    </row>
    <row r="9" spans="1:31" s="1292" customFormat="1" ht="22.5" hidden="1" customHeight="1">
      <c r="A9" s="903"/>
      <c r="C9" s="1561"/>
      <c r="D9" s="463"/>
      <c r="E9" s="1573"/>
      <c r="F9" s="465"/>
      <c r="G9" s="1571" t="s">
        <v>1730</v>
      </c>
      <c r="H9" s="466"/>
      <c r="I9" s="466"/>
      <c r="J9" s="467" t="s">
        <v>1733</v>
      </c>
      <c r="K9" s="468"/>
      <c r="L9" s="1561"/>
      <c r="M9" s="1561"/>
      <c r="R9" s="1561"/>
      <c r="U9" s="469"/>
      <c r="AA9" s="1557"/>
      <c r="AB9" s="1557"/>
      <c r="AC9" s="1557"/>
      <c r="AD9" s="1557"/>
      <c r="AE9" s="1557"/>
    </row>
    <row r="10" spans="1:31" ht="11.25" hidden="1" customHeight="1"/>
    <row r="11" spans="1:31" ht="18.75" hidden="1" customHeight="1">
      <c r="D11" s="1563"/>
      <c r="E11" s="471"/>
      <c r="F11" s="465"/>
      <c r="G11" s="1571" t="s">
        <v>643</v>
      </c>
      <c r="H11" s="466"/>
      <c r="I11" s="466"/>
      <c r="J11" s="204" t="s">
        <v>1734</v>
      </c>
      <c r="K11" s="468"/>
    </row>
    <row r="12" spans="1:31" ht="11.25" hidden="1" customHeight="1"/>
    <row r="13" spans="1:31" ht="22.5" hidden="1" customHeight="1">
      <c r="D13" s="1563"/>
      <c r="E13" s="471"/>
      <c r="F13" s="465"/>
      <c r="G13" s="885" t="s">
        <v>1644</v>
      </c>
      <c r="H13" s="470"/>
      <c r="I13" s="470"/>
      <c r="J13" s="664" t="s">
        <v>1735</v>
      </c>
      <c r="K13" s="468"/>
    </row>
    <row r="14" spans="1:31" ht="11.25" hidden="1" customHeight="1"/>
    <row r="15" spans="1:31" ht="22.5" hidden="1" customHeight="1">
      <c r="D15" s="1563"/>
      <c r="E15" s="471"/>
      <c r="F15" s="465"/>
      <c r="G15" s="1571" t="s">
        <v>1736</v>
      </c>
      <c r="H15" s="470"/>
      <c r="I15" s="470"/>
      <c r="J15" s="204" t="s">
        <v>1737</v>
      </c>
      <c r="K15" s="468"/>
    </row>
    <row r="16" spans="1:31" ht="11.25" hidden="1" customHeight="1"/>
    <row r="17" spans="1:26" ht="22.5" hidden="1" customHeight="1">
      <c r="D17" s="1563"/>
      <c r="E17" s="471"/>
      <c r="F17" s="465"/>
      <c r="G17" s="1571" t="s">
        <v>1738</v>
      </c>
      <c r="H17" s="470"/>
      <c r="I17" s="470"/>
      <c r="J17" s="204" t="s">
        <v>1739</v>
      </c>
      <c r="K17" s="468"/>
    </row>
    <row r="18" spans="1:26" ht="11.25" hidden="1" customHeight="1"/>
    <row r="19" spans="1:26" s="1557" customFormat="1" ht="11.25" hidden="1" customHeight="1">
      <c r="A19" s="903"/>
      <c r="B19" s="1070"/>
      <c r="C19" s="1561"/>
      <c r="D19" s="285"/>
      <c r="J19" s="1557">
        <v>4</v>
      </c>
      <c r="K19" s="1070"/>
      <c r="L19" s="1561"/>
      <c r="M19" s="1561"/>
      <c r="N19" s="1070"/>
      <c r="O19" s="1070"/>
      <c r="P19" s="1070"/>
      <c r="Q19" s="1070"/>
      <c r="R19" s="1561"/>
      <c r="S19" s="1070"/>
      <c r="T19" s="1070"/>
      <c r="U19" s="469"/>
      <c r="V19" s="1070"/>
      <c r="W19" s="1070"/>
      <c r="X19" s="1070"/>
      <c r="Y19" s="1070"/>
      <c r="Z19" s="1070"/>
    </row>
    <row r="21" spans="1:26" ht="24" customHeight="1">
      <c r="E21" s="1833" t="str">
        <f>FHD_NAME_FORM</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21" s="1834"/>
      <c r="G21" s="1834"/>
      <c r="H21" s="1834"/>
      <c r="I21" s="1835"/>
      <c r="J21" s="481"/>
    </row>
    <row r="22" spans="1:26" ht="24" customHeight="1">
      <c r="E22" s="1940" t="str">
        <f>IF(org=0,"Не определено",org)</f>
        <v>НАО "СВЕЗА Мантурово"</v>
      </c>
      <c r="F22" s="1941"/>
      <c r="G22" s="1941"/>
      <c r="H22" s="1941"/>
      <c r="I22" s="1942"/>
    </row>
    <row r="23" spans="1:26" ht="11.25" customHeight="1">
      <c r="E23" s="1047"/>
      <c r="F23" s="1047"/>
      <c r="G23" s="1047"/>
      <c r="H23" s="1047"/>
      <c r="I23" s="1047"/>
    </row>
    <row r="24" spans="1:26" s="1567" customFormat="1" ht="0.75" customHeight="1">
      <c r="A24" s="1077"/>
      <c r="H24" s="807"/>
      <c r="I24" s="807" t="s">
        <v>113</v>
      </c>
    </row>
    <row r="25" spans="1:26" ht="11.25" customHeight="1">
      <c r="E25" s="630"/>
      <c r="F25" s="2130" t="s">
        <v>101</v>
      </c>
      <c r="G25" s="2131"/>
      <c r="H25" s="1577" t="str">
        <f>IF(H24="","",INDEX(DIFFERENTIATION_UNMERGE_VD,MATCH(H24,DIFFERENTIATION_ID_DIFF,0)))</f>
        <v/>
      </c>
      <c r="I25" s="1577">
        <f>IF(I24="","",INDEX(DIFFERENTIATION_UNMERGE_VD,MATCH(I24,DIFFERENTIATION_ID_DIFF,0)))</f>
        <v>0</v>
      </c>
      <c r="J25" s="1840"/>
    </row>
    <row r="26" spans="1:26" ht="11.25" customHeight="1">
      <c r="E26" s="630"/>
      <c r="F26" s="2130" t="s">
        <v>428</v>
      </c>
      <c r="G26" s="2131"/>
      <c r="H26" s="1577" t="str">
        <f>IF(H24="","",INDEX(DIFFERENTIATION_UNMERGE_AREA,MATCH(H24,DIFFERENTIATION_ID_DIFF,0)))</f>
        <v/>
      </c>
      <c r="I26" s="1577" t="str">
        <f>IF(I24="","",INDEX(DIFFERENTIATION_UNMERGE_AREA,MATCH(I24,DIFFERENTIATION_ID_DIFF,0)))</f>
        <v/>
      </c>
      <c r="J26" s="1840"/>
    </row>
    <row r="27" spans="1:26" ht="11.25" customHeight="1">
      <c r="E27" s="630"/>
      <c r="F27" s="2130" t="s">
        <v>429</v>
      </c>
      <c r="G27" s="2131"/>
      <c r="H27" s="1577" t="str">
        <f>IF(H24="","",INDEX(DIFFERENTIATION_UNMERGE_SYSTEM,MATCH(H24,DIFFERENTIATION_ID_DIFF,0)))</f>
        <v/>
      </c>
      <c r="I27" s="1577" t="str">
        <f>IF(I24="","",INDEX(DIFFERENTIATION_UNMERGE_SYSTEM,MATCH(I24,DIFFERENTIATION_ID_DIFF,0)))</f>
        <v>без дифференциации</v>
      </c>
      <c r="J27" s="1840"/>
    </row>
    <row r="28" spans="1:26" ht="11.25" customHeight="1">
      <c r="E28" s="2132" t="s">
        <v>282</v>
      </c>
      <c r="F28" s="2133"/>
      <c r="G28" s="2133"/>
      <c r="H28" s="1570"/>
      <c r="I28" s="1570"/>
      <c r="J28" s="1840"/>
    </row>
    <row r="29" spans="1:26" ht="22.5" customHeight="1">
      <c r="E29" s="1571" t="s">
        <v>87</v>
      </c>
      <c r="F29" s="1578" t="s">
        <v>284</v>
      </c>
      <c r="G29" s="1578" t="s">
        <v>1626</v>
      </c>
      <c r="H29" s="1578" t="s">
        <v>285</v>
      </c>
      <c r="I29" s="1578" t="s">
        <v>285</v>
      </c>
      <c r="J29" s="1840"/>
    </row>
    <row r="30" spans="1:26" ht="18.75" customHeight="1">
      <c r="D30" s="1563"/>
      <c r="E30" s="471">
        <f>FHD_NUM_P_1</f>
        <v>1</v>
      </c>
      <c r="F30" s="626" t="str">
        <f>FHD_P_1</f>
        <v>Выручка от регулируемых видов деятельности в сфере холодного водоснабжения</v>
      </c>
      <c r="G30" s="1571" t="s">
        <v>1730</v>
      </c>
      <c r="H30" s="482"/>
      <c r="I30" s="482"/>
      <c r="J30" s="204" t="str">
        <f>FHD_NOTE_P_1</f>
        <v>Указывается выручка с распределением по видам деятельности.</v>
      </c>
      <c r="K30" s="468"/>
    </row>
    <row r="31" spans="1:26" ht="11.25" customHeight="1">
      <c r="D31" s="1563"/>
      <c r="E31" s="471">
        <f>FHD_NUM_P_2</f>
        <v>2</v>
      </c>
      <c r="F31" s="626" t="str">
        <f>FHD_P_2</f>
        <v>Себестоимость производимых товаров (оказываемых услуг) по регулируемым видам деятельности в сфере холодного водоснабжения, включая:</v>
      </c>
      <c r="G31" s="1571" t="s">
        <v>1730</v>
      </c>
      <c r="H31" s="483">
        <f>SUMIF($K33:$K71,$K31,H33:H71)</f>
        <v>0</v>
      </c>
      <c r="I31" s="483">
        <f>SUMIF($K33:$K71,$K31,I33:I71)</f>
        <v>0</v>
      </c>
      <c r="J31" s="204" t="str">
        <f>FHD_NOTE_P_2</f>
        <v>Указывается суммарная себестоимость производимых товаров.</v>
      </c>
      <c r="K31" s="1561" t="s">
        <v>1740</v>
      </c>
    </row>
    <row r="32" spans="1:26" ht="11.25" customHeight="1">
      <c r="D32" s="1563"/>
      <c r="E32" s="471" t="str">
        <f>FHD_NUM_P_3</f>
        <v>2.1</v>
      </c>
      <c r="F32" s="870" t="str">
        <f>FHD_P_3</f>
        <v>Расходы на оплату холодной воды, приобретаемой у других организаций для последующей подачи потребителям</v>
      </c>
      <c r="G32" s="1571" t="s">
        <v>1730</v>
      </c>
      <c r="H32" s="482"/>
      <c r="I32" s="482"/>
      <c r="J32" s="204" t="str">
        <f>FHD_NOTE_P_3</f>
        <v/>
      </c>
      <c r="K32" s="1561" t="str">
        <f t="shared" ref="K32:K70" si="0">IF((LEN(E32)-LEN(SUBSTITUTE(E32,".","")))/LEN(".")=1,"p","")</f>
        <v>p</v>
      </c>
    </row>
    <row r="33" spans="1:31" ht="11.25" hidden="1" customHeight="1">
      <c r="A33" s="2158" t="s">
        <v>1741</v>
      </c>
      <c r="D33" s="1563"/>
      <c r="E33" s="471" t="str">
        <f>FHD_NUM_P_4</f>
        <v/>
      </c>
      <c r="F33" s="870" t="str">
        <f>FHD_P_4</f>
        <v/>
      </c>
      <c r="G33" s="1571" t="s">
        <v>1730</v>
      </c>
      <c r="H33" s="483">
        <f>SUMIF($F34:$F40,$F3,H34:H40)</f>
        <v>0</v>
      </c>
      <c r="I33" s="483">
        <f>SUMIF($F34:$F40,$F3,I34:I40)</f>
        <v>0</v>
      </c>
      <c r="J33" s="204" t="str">
        <f>FHD_NOTE_P_4</f>
        <v/>
      </c>
      <c r="K33" s="1561" t="str">
        <f t="shared" si="0"/>
        <v/>
      </c>
    </row>
    <row r="34" spans="1:31" s="1566" customFormat="1" ht="0.75" hidden="1" customHeight="1">
      <c r="A34" s="2158"/>
      <c r="B34" s="2159" t="str">
        <f>E33&amp;".0"</f>
        <v>.0</v>
      </c>
      <c r="C34" s="1077"/>
      <c r="D34" s="485"/>
      <c r="E34" s="486"/>
      <c r="F34" s="487"/>
      <c r="G34" s="488"/>
      <c r="H34" s="423"/>
      <c r="I34" s="423"/>
      <c r="J34" s="489"/>
      <c r="K34" s="1561" t="str">
        <f t="shared" si="0"/>
        <v/>
      </c>
      <c r="L34" s="1561"/>
      <c r="M34" s="1561"/>
      <c r="N34" s="1561"/>
      <c r="O34" s="1561"/>
      <c r="P34" s="1561"/>
      <c r="Q34" s="1561"/>
      <c r="R34" s="1561"/>
      <c r="S34" s="1561"/>
      <c r="T34" s="1561"/>
      <c r="U34" s="490"/>
      <c r="V34" s="1561"/>
      <c r="W34" s="1561"/>
      <c r="X34" s="1561"/>
      <c r="Y34" s="1561"/>
      <c r="Z34" s="1561"/>
      <c r="AA34" s="491"/>
      <c r="AB34" s="491"/>
      <c r="AC34" s="491"/>
      <c r="AD34" s="491"/>
      <c r="AE34" s="491"/>
    </row>
    <row r="35" spans="1:31" s="1566" customFormat="1" ht="0.75" hidden="1" customHeight="1">
      <c r="A35" s="2158"/>
      <c r="B35" s="2159"/>
      <c r="C35" s="1077"/>
      <c r="D35" s="485"/>
      <c r="E35" s="492"/>
      <c r="F35" s="493"/>
      <c r="G35" s="488"/>
      <c r="H35" s="494"/>
      <c r="I35" s="494"/>
      <c r="J35" s="489"/>
      <c r="K35" s="1561" t="str">
        <f t="shared" si="0"/>
        <v/>
      </c>
      <c r="L35" s="1561"/>
      <c r="M35" s="1561"/>
      <c r="N35" s="1561"/>
      <c r="O35" s="1561"/>
      <c r="P35" s="1561"/>
      <c r="Q35" s="1561"/>
      <c r="R35" s="1561"/>
      <c r="S35" s="1561"/>
      <c r="T35" s="1561"/>
      <c r="U35" s="490"/>
      <c r="V35" s="1561"/>
      <c r="W35" s="1561"/>
      <c r="X35" s="1561"/>
      <c r="Y35" s="1561"/>
      <c r="Z35" s="1561"/>
      <c r="AA35" s="491"/>
      <c r="AB35" s="491"/>
      <c r="AC35" s="491"/>
      <c r="AD35" s="491"/>
      <c r="AE35" s="491"/>
    </row>
    <row r="36" spans="1:31" s="1566" customFormat="1" ht="0.75" hidden="1" customHeight="1">
      <c r="A36" s="2158"/>
      <c r="B36" s="2159"/>
      <c r="C36" s="1077"/>
      <c r="D36" s="485"/>
      <c r="E36" s="492"/>
      <c r="F36" s="493"/>
      <c r="G36" s="488"/>
      <c r="H36" s="494"/>
      <c r="I36" s="494"/>
      <c r="J36" s="489"/>
      <c r="K36" s="1561" t="str">
        <f t="shared" si="0"/>
        <v/>
      </c>
      <c r="L36" s="1561"/>
      <c r="M36" s="1561"/>
      <c r="N36" s="1561"/>
      <c r="O36" s="1561"/>
      <c r="P36" s="1561"/>
      <c r="Q36" s="1561"/>
      <c r="R36" s="1561"/>
      <c r="S36" s="1561"/>
      <c r="T36" s="1561"/>
      <c r="U36" s="490"/>
      <c r="V36" s="1561"/>
      <c r="W36" s="1561"/>
      <c r="X36" s="1561"/>
      <c r="Y36" s="1561"/>
      <c r="Z36" s="1561"/>
      <c r="AA36" s="491"/>
      <c r="AB36" s="491"/>
      <c r="AC36" s="491"/>
      <c r="AD36" s="491"/>
      <c r="AE36" s="491"/>
    </row>
    <row r="37" spans="1:31" s="1566" customFormat="1" ht="0.75" hidden="1" customHeight="1">
      <c r="A37" s="2158"/>
      <c r="B37" s="2159"/>
      <c r="C37" s="1077"/>
      <c r="D37" s="485"/>
      <c r="E37" s="492"/>
      <c r="F37" s="493"/>
      <c r="G37" s="488"/>
      <c r="H37" s="494"/>
      <c r="I37" s="494"/>
      <c r="J37" s="489"/>
      <c r="K37" s="1561" t="str">
        <f t="shared" si="0"/>
        <v/>
      </c>
      <c r="L37" s="1561"/>
      <c r="M37" s="1561"/>
      <c r="N37" s="1561"/>
      <c r="O37" s="1561"/>
      <c r="P37" s="1561"/>
      <c r="Q37" s="1561"/>
      <c r="R37" s="1561"/>
      <c r="S37" s="1561"/>
      <c r="T37" s="1561"/>
      <c r="U37" s="490"/>
      <c r="V37" s="1561"/>
      <c r="W37" s="1561"/>
      <c r="X37" s="1561"/>
      <c r="Y37" s="1561"/>
      <c r="Z37" s="1561"/>
      <c r="AA37" s="491"/>
      <c r="AB37" s="491"/>
      <c r="AC37" s="491"/>
      <c r="AD37" s="491"/>
      <c r="AE37" s="491"/>
    </row>
    <row r="38" spans="1:31" s="1566" customFormat="1" ht="0.75" hidden="1" customHeight="1">
      <c r="A38" s="2158"/>
      <c r="B38" s="2159"/>
      <c r="C38" s="1077"/>
      <c r="D38" s="485"/>
      <c r="E38" s="492"/>
      <c r="F38" s="493"/>
      <c r="G38" s="488"/>
      <c r="H38" s="494"/>
      <c r="I38" s="494"/>
      <c r="J38" s="489"/>
      <c r="K38" s="1561" t="str">
        <f t="shared" si="0"/>
        <v/>
      </c>
      <c r="L38" s="1561"/>
      <c r="M38" s="1561"/>
      <c r="N38" s="1561"/>
      <c r="O38" s="1561"/>
      <c r="P38" s="1561"/>
      <c r="Q38" s="1561"/>
      <c r="R38" s="1561"/>
      <c r="S38" s="1561"/>
      <c r="T38" s="1561"/>
      <c r="U38" s="490"/>
      <c r="V38" s="1561"/>
      <c r="W38" s="1561"/>
      <c r="X38" s="1561"/>
      <c r="Y38" s="1561"/>
      <c r="Z38" s="1561"/>
      <c r="AA38" s="491"/>
      <c r="AB38" s="491"/>
      <c r="AC38" s="491"/>
      <c r="AD38" s="491"/>
      <c r="AE38" s="491"/>
    </row>
    <row r="39" spans="1:31" s="1566" customFormat="1" ht="0.75" hidden="1" customHeight="1">
      <c r="A39" s="2158"/>
      <c r="B39" s="2159"/>
      <c r="C39" s="1077"/>
      <c r="D39" s="485"/>
      <c r="E39" s="492"/>
      <c r="F39" s="493"/>
      <c r="G39" s="488"/>
      <c r="H39" s="423"/>
      <c r="I39" s="423"/>
      <c r="J39" s="489"/>
      <c r="K39" s="1561" t="str">
        <f t="shared" si="0"/>
        <v/>
      </c>
      <c r="L39" s="1561"/>
      <c r="M39" s="1561"/>
      <c r="N39" s="1561"/>
      <c r="O39" s="1561"/>
      <c r="P39" s="1561"/>
      <c r="Q39" s="1561"/>
      <c r="R39" s="1561"/>
      <c r="S39" s="1561"/>
      <c r="T39" s="1561"/>
      <c r="U39" s="490"/>
      <c r="V39" s="1561"/>
      <c r="W39" s="1561"/>
      <c r="X39" s="1561"/>
      <c r="Y39" s="1561"/>
      <c r="Z39" s="1561"/>
      <c r="AA39" s="491"/>
      <c r="AB39" s="491"/>
      <c r="AC39" s="491"/>
      <c r="AD39" s="491"/>
      <c r="AE39" s="491"/>
    </row>
    <row r="40" spans="1:31" s="1292" customFormat="1" ht="15" hidden="1" customHeight="1">
      <c r="A40" s="2158"/>
      <c r="C40" s="1561"/>
      <c r="D40" s="1558"/>
      <c r="E40" s="495"/>
      <c r="F40" s="496" t="s">
        <v>1742</v>
      </c>
      <c r="G40" s="497"/>
      <c r="H40" s="498"/>
      <c r="I40" s="498"/>
      <c r="J40" s="215"/>
      <c r="K40" s="1561" t="str">
        <f t="shared" si="0"/>
        <v/>
      </c>
      <c r="L40" s="1561"/>
      <c r="M40" s="1561"/>
      <c r="R40" s="1561"/>
      <c r="U40" s="469"/>
      <c r="AA40" s="1557"/>
      <c r="AB40" s="1557"/>
      <c r="AC40" s="1557"/>
      <c r="AD40" s="1557"/>
      <c r="AE40" s="1557"/>
    </row>
    <row r="41" spans="1:31" ht="11.25" hidden="1" customHeight="1">
      <c r="A41" s="2158" t="s">
        <v>1743</v>
      </c>
      <c r="D41" s="1563"/>
      <c r="E41" s="471" t="str">
        <f>FHD_NUM_P_5</f>
        <v/>
      </c>
      <c r="F41" s="870" t="str">
        <f>FHD_P_5</f>
        <v/>
      </c>
      <c r="G41" s="1571" t="s">
        <v>1730</v>
      </c>
      <c r="H41" s="482"/>
      <c r="I41" s="482"/>
      <c r="J41" s="204" t="str">
        <f>FHD_NOTE_P_5</f>
        <v/>
      </c>
      <c r="K41" s="1561" t="str">
        <f t="shared" si="0"/>
        <v/>
      </c>
    </row>
    <row r="42" spans="1:31" ht="11.25" hidden="1" customHeight="1">
      <c r="A42" s="2158"/>
      <c r="D42" s="1563"/>
      <c r="E42" s="471" t="str">
        <f>FHD_NUM_P_6</f>
        <v/>
      </c>
      <c r="F42" s="870" t="str">
        <f>FHD_P_6</f>
        <v/>
      </c>
      <c r="G42" s="1571" t="s">
        <v>1730</v>
      </c>
      <c r="H42" s="482"/>
      <c r="I42" s="482"/>
      <c r="J42" s="204" t="str">
        <f>FHD_NOTE_P_6</f>
        <v/>
      </c>
      <c r="K42" s="1561" t="str">
        <f t="shared" si="0"/>
        <v/>
      </c>
    </row>
    <row r="43" spans="1:31" ht="11.25" hidden="1" customHeight="1">
      <c r="A43" s="2158"/>
      <c r="D43" s="1563"/>
      <c r="E43" s="471" t="str">
        <f>FHD_NUM_P_7</f>
        <v/>
      </c>
      <c r="F43" s="870" t="str">
        <f>FHD_P_7</f>
        <v/>
      </c>
      <c r="G43" s="1571" t="s">
        <v>1730</v>
      </c>
      <c r="H43" s="482"/>
      <c r="I43" s="482"/>
      <c r="J43" s="204" t="str">
        <f>FHD_NOTE_P_7</f>
        <v/>
      </c>
      <c r="K43" s="1561" t="str">
        <f t="shared" si="0"/>
        <v/>
      </c>
    </row>
    <row r="44" spans="1:31" ht="11.25" customHeight="1">
      <c r="D44" s="1563"/>
      <c r="E44" s="471" t="str">
        <f>FHD_NUM_P_8</f>
        <v>2.2</v>
      </c>
      <c r="F44" s="870" t="str">
        <f>FHD_P_8</f>
        <v>Расходы на приобретаемую электрическую энергию (мощность), используемую в технологическом процессе</v>
      </c>
      <c r="G44" s="1571" t="s">
        <v>1730</v>
      </c>
      <c r="H44" s="482"/>
      <c r="I44" s="482"/>
      <c r="J44" s="204" t="str">
        <f>FHD_NOTE_P_8</f>
        <v/>
      </c>
      <c r="K44" s="1561" t="str">
        <f t="shared" si="0"/>
        <v>p</v>
      </c>
    </row>
    <row r="45" spans="1:31" ht="11.25" customHeight="1">
      <c r="D45" s="1563"/>
      <c r="E45" s="471" t="str">
        <f>FHD_NUM_P_9</f>
        <v>2.2.1</v>
      </c>
      <c r="F45" s="1575" t="str">
        <f>FHD_P_9</f>
        <v>Средневзвешенная стоимость 1 кВт.ч (с учетом мощности)</v>
      </c>
      <c r="G45" s="1571" t="s">
        <v>1256</v>
      </c>
      <c r="H45" s="482"/>
      <c r="I45" s="482"/>
      <c r="J45" s="204" t="str">
        <f>FHD_NOTE_P_9</f>
        <v/>
      </c>
      <c r="K45" s="1561" t="str">
        <f t="shared" si="0"/>
        <v/>
      </c>
    </row>
    <row r="46" spans="1:31" s="1292" customFormat="1" ht="11.25" customHeight="1">
      <c r="A46" s="903"/>
      <c r="C46" s="1561"/>
      <c r="D46" s="499"/>
      <c r="E46" s="471" t="str">
        <f>FHD_NUM_P_10</f>
        <v>2.2.2</v>
      </c>
      <c r="F46" s="1575" t="str">
        <f>FHD_P_10</f>
        <v>Объём приобретения электрической энергии</v>
      </c>
      <c r="G46" s="1571" t="s">
        <v>1744</v>
      </c>
      <c r="H46" s="482"/>
      <c r="I46" s="482"/>
      <c r="J46" s="204" t="str">
        <f>FHD_NOTE_P_10</f>
        <v/>
      </c>
      <c r="K46" s="1561" t="str">
        <f t="shared" si="0"/>
        <v/>
      </c>
      <c r="L46" s="1561"/>
      <c r="M46" s="1561"/>
      <c r="R46" s="1561"/>
      <c r="U46" s="469"/>
      <c r="AA46" s="1557"/>
      <c r="AB46" s="1557"/>
      <c r="AC46" s="1557"/>
      <c r="AD46" s="1557"/>
      <c r="AE46" s="1557"/>
    </row>
    <row r="47" spans="1:31" s="1292" customFormat="1" ht="11.25" hidden="1" customHeight="1">
      <c r="A47" s="905" t="s">
        <v>1745</v>
      </c>
      <c r="C47" s="1561"/>
      <c r="D47" s="500"/>
      <c r="E47" s="471" t="str">
        <f>FHD_NUM_P_11</f>
        <v/>
      </c>
      <c r="F47" s="870" t="str">
        <f>FHD_P_11</f>
        <v/>
      </c>
      <c r="G47" s="1571" t="s">
        <v>1730</v>
      </c>
      <c r="H47" s="482"/>
      <c r="I47" s="482"/>
      <c r="J47" s="204" t="str">
        <f>FHD_NOTE_P_11</f>
        <v/>
      </c>
      <c r="K47" s="1561" t="str">
        <f t="shared" si="0"/>
        <v/>
      </c>
      <c r="L47" s="1561"/>
      <c r="M47" s="1561"/>
      <c r="R47" s="1561"/>
      <c r="U47" s="469"/>
      <c r="AA47" s="1557"/>
      <c r="AB47" s="1557"/>
      <c r="AC47" s="1557"/>
      <c r="AD47" s="1557"/>
      <c r="AE47" s="1557"/>
    </row>
    <row r="48" spans="1:31" s="1292" customFormat="1" ht="18" customHeight="1">
      <c r="A48" s="905" t="s">
        <v>1746</v>
      </c>
      <c r="C48" s="1561"/>
      <c r="D48" s="1563"/>
      <c r="E48" s="471" t="str">
        <f>FHD_NUM_P_12</f>
        <v>2.3</v>
      </c>
      <c r="F48" s="870" t="str">
        <f>FHD_P_12</f>
        <v>Расходы на химические реагенты, используемые в технологическом процессе</v>
      </c>
      <c r="G48" s="1571" t="s">
        <v>1730</v>
      </c>
      <c r="H48" s="502"/>
      <c r="I48" s="502"/>
      <c r="J48" s="204" t="str">
        <f>FHD_NOTE_P_12</f>
        <v/>
      </c>
      <c r="K48" s="1561" t="str">
        <f t="shared" si="0"/>
        <v>p</v>
      </c>
      <c r="L48" s="1561"/>
      <c r="M48" s="1561"/>
      <c r="R48" s="1561"/>
      <c r="U48" s="469"/>
      <c r="AA48" s="1557"/>
      <c r="AB48" s="1557"/>
      <c r="AC48" s="1557"/>
      <c r="AD48" s="1557"/>
      <c r="AE48" s="1557"/>
    </row>
    <row r="49" spans="1:31" s="1291" customFormat="1" ht="11.25" customHeight="1">
      <c r="A49" s="904"/>
      <c r="C49" s="650"/>
      <c r="D49" s="593"/>
      <c r="E49" s="471" t="str">
        <f>FHD_NUM_P_13</f>
        <v>2.4</v>
      </c>
      <c r="F49" s="87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1" t="s">
        <v>1730</v>
      </c>
      <c r="H49" s="482"/>
      <c r="I49" s="482"/>
      <c r="J49" s="204" t="str">
        <f>FHD_NOTE_P_13</f>
        <v>Указывается общая сумма расходов на оплату труда и отчислений на социальные нужды основного производственного персонала.</v>
      </c>
      <c r="K49" s="1561" t="str">
        <f t="shared" si="0"/>
        <v>p</v>
      </c>
      <c r="L49" s="650"/>
      <c r="M49" s="650"/>
      <c r="R49" s="650"/>
      <c r="U49" s="651"/>
      <c r="AA49" s="652"/>
      <c r="AB49" s="652"/>
      <c r="AC49" s="652"/>
      <c r="AD49" s="652"/>
      <c r="AE49" s="652"/>
    </row>
    <row r="50" spans="1:31" s="1291" customFormat="1" ht="11.25" customHeight="1">
      <c r="A50" s="904"/>
      <c r="C50" s="650"/>
      <c r="D50" s="593"/>
      <c r="E50" s="471" t="str">
        <f>FHD_NUM_P_14</f>
        <v>2.4.1</v>
      </c>
      <c r="F50" s="1575" t="str">
        <f>FHD_P_14</f>
        <v>Расходы на оплату труда основного производственного персонала</v>
      </c>
      <c r="G50" s="1571" t="s">
        <v>1730</v>
      </c>
      <c r="H50" s="482"/>
      <c r="I50" s="482"/>
      <c r="J50" s="204" t="str">
        <f>FHD_NOTE_P_14</f>
        <v/>
      </c>
      <c r="K50" s="1561" t="str">
        <f t="shared" si="0"/>
        <v/>
      </c>
      <c r="L50" s="650"/>
      <c r="M50" s="650"/>
      <c r="R50" s="650"/>
      <c r="U50" s="651"/>
      <c r="AA50" s="652"/>
      <c r="AB50" s="652"/>
      <c r="AC50" s="652"/>
      <c r="AD50" s="652"/>
      <c r="AE50" s="652"/>
    </row>
    <row r="51" spans="1:31" s="1291" customFormat="1" ht="11.25" customHeight="1">
      <c r="A51" s="904"/>
      <c r="C51" s="650"/>
      <c r="D51" s="593"/>
      <c r="E51" s="471" t="str">
        <f>FHD_NUM_P_15</f>
        <v>2.4.2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571" t="s">
        <v>1730</v>
      </c>
      <c r="H51" s="482"/>
      <c r="I51" s="482"/>
      <c r="J51" s="204" t="str">
        <f>FHD_NOTE_P_15</f>
        <v/>
      </c>
      <c r="K51" s="1561" t="str">
        <f t="shared" si="0"/>
        <v/>
      </c>
      <c r="L51" s="650"/>
      <c r="M51" s="650"/>
      <c r="R51" s="650"/>
      <c r="U51" s="651"/>
      <c r="AA51" s="652"/>
      <c r="AB51" s="652"/>
      <c r="AC51" s="652"/>
      <c r="AD51" s="652"/>
      <c r="AE51" s="652"/>
    </row>
    <row r="52" spans="1:31" s="1292" customFormat="1" ht="11.25" customHeight="1">
      <c r="A52" s="903"/>
      <c r="C52" s="1561"/>
      <c r="D52" s="1563"/>
      <c r="E52" s="471" t="str">
        <f>FHD_NUM_P_16</f>
        <v>2.5</v>
      </c>
      <c r="F52" s="87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71" t="s">
        <v>1730</v>
      </c>
      <c r="H52" s="482"/>
      <c r="I52" s="482"/>
      <c r="J52" s="204" t="str">
        <f>FHD_NOTE_P_16</f>
        <v>Указывается общая сумма расходов на оплату труда и отчислений на социальные нужды административно-управленческого персонала.</v>
      </c>
      <c r="K52" s="1561" t="str">
        <f t="shared" si="0"/>
        <v>p</v>
      </c>
      <c r="L52" s="1561"/>
      <c r="M52" s="1567"/>
      <c r="N52" s="462"/>
      <c r="O52" s="462"/>
      <c r="R52" s="1561"/>
      <c r="U52" s="469"/>
      <c r="AA52" s="1557"/>
      <c r="AB52" s="1557"/>
      <c r="AC52" s="1557"/>
      <c r="AD52" s="1557"/>
      <c r="AE52" s="1557"/>
    </row>
    <row r="53" spans="1:31" s="1292" customFormat="1" ht="11.25" customHeight="1">
      <c r="A53" s="903"/>
      <c r="C53" s="1561"/>
      <c r="D53" s="1563"/>
      <c r="E53" s="471" t="str">
        <f>FHD_NUM_P_17</f>
        <v>2.5.1</v>
      </c>
      <c r="F53" s="1575" t="str">
        <f>FHD_P_17</f>
        <v>Расходы на оплату труда административно-управленческого персонала</v>
      </c>
      <c r="G53" s="1571" t="s">
        <v>1730</v>
      </c>
      <c r="H53" s="482"/>
      <c r="I53" s="482"/>
      <c r="J53" s="204" t="str">
        <f>FHD_NOTE_P_17</f>
        <v/>
      </c>
      <c r="K53" s="1561" t="str">
        <f t="shared" si="0"/>
        <v/>
      </c>
      <c r="L53" s="1561"/>
      <c r="M53" s="1567"/>
      <c r="N53" s="462"/>
      <c r="O53" s="462"/>
      <c r="R53" s="1561"/>
      <c r="U53" s="469"/>
      <c r="AA53" s="1557"/>
      <c r="AB53" s="1557"/>
      <c r="AC53" s="1557"/>
      <c r="AD53" s="1557"/>
      <c r="AE53" s="1557"/>
    </row>
    <row r="54" spans="1:31" s="1292" customFormat="1" ht="11.25" customHeight="1">
      <c r="A54" s="903"/>
      <c r="C54" s="1561"/>
      <c r="D54" s="1563"/>
      <c r="E54" s="471" t="str">
        <f>FHD_NUM_P_18</f>
        <v>2.5.2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571" t="s">
        <v>1730</v>
      </c>
      <c r="H54" s="482"/>
      <c r="I54" s="482"/>
      <c r="J54" s="204" t="str">
        <f>FHD_NOTE_P_18</f>
        <v/>
      </c>
      <c r="K54" s="1561" t="str">
        <f t="shared" si="0"/>
        <v/>
      </c>
      <c r="L54" s="1561"/>
      <c r="M54" s="1567"/>
      <c r="N54" s="462"/>
      <c r="O54" s="462"/>
      <c r="R54" s="1561"/>
      <c r="U54" s="469"/>
      <c r="AA54" s="1557"/>
      <c r="AB54" s="1557"/>
      <c r="AC54" s="1557"/>
      <c r="AD54" s="1557"/>
      <c r="AE54" s="1557"/>
    </row>
    <row r="55" spans="1:31" s="1292" customFormat="1" ht="11.25" customHeight="1">
      <c r="A55" s="903"/>
      <c r="C55" s="1561"/>
      <c r="D55" s="500"/>
      <c r="E55" s="471" t="str">
        <f>FHD_NUM_P_19</f>
        <v>2.6</v>
      </c>
      <c r="F55" s="870" t="str">
        <f>FHD_P_19</f>
        <v>Расходы на амортизацию основных средств и нематериальных активов</v>
      </c>
      <c r="G55" s="1571" t="s">
        <v>1730</v>
      </c>
      <c r="H55" s="482"/>
      <c r="I55" s="482"/>
      <c r="J55" s="204" t="str">
        <f>FHD_NOTE_P_19</f>
        <v/>
      </c>
      <c r="K55" s="1561" t="str">
        <f t="shared" si="0"/>
        <v>p</v>
      </c>
      <c r="L55" s="1561"/>
      <c r="M55" s="1561"/>
      <c r="R55" s="1561"/>
      <c r="U55" s="469"/>
      <c r="AA55" s="1557"/>
      <c r="AB55" s="1557"/>
      <c r="AC55" s="1557"/>
      <c r="AD55" s="1557"/>
      <c r="AE55" s="1557"/>
    </row>
    <row r="56" spans="1:31" s="1292" customFormat="1" ht="11.25" customHeight="1">
      <c r="A56" s="903"/>
      <c r="C56" s="1561"/>
      <c r="D56" s="500"/>
      <c r="E56" s="471" t="str">
        <f>FHD_NUM_P_20</f>
        <v>2.6.1</v>
      </c>
      <c r="F56" s="1575" t="str">
        <f>FHD_P_20</f>
        <v>Расходы на амортизацию основных средств</v>
      </c>
      <c r="G56" s="1571" t="s">
        <v>1730</v>
      </c>
      <c r="H56" s="482"/>
      <c r="I56" s="482"/>
      <c r="J56" s="204" t="str">
        <f>FHD_NOTE_P_20</f>
        <v/>
      </c>
      <c r="K56" s="1561" t="str">
        <f t="shared" si="0"/>
        <v/>
      </c>
      <c r="L56" s="1561"/>
      <c r="M56" s="1561"/>
      <c r="R56" s="1561"/>
      <c r="U56" s="469"/>
      <c r="AA56" s="1557"/>
      <c r="AB56" s="1557"/>
      <c r="AC56" s="1557"/>
      <c r="AD56" s="1557"/>
      <c r="AE56" s="1557"/>
    </row>
    <row r="57" spans="1:31" s="1292" customFormat="1" ht="11.25" customHeight="1">
      <c r="A57" s="903"/>
      <c r="C57" s="1561"/>
      <c r="D57" s="500"/>
      <c r="E57" s="471" t="str">
        <f>FHD_NUM_P_21</f>
        <v>2.6.2</v>
      </c>
      <c r="F57" s="1575" t="str">
        <f>FHD_P_21</f>
        <v>Расходы на амортизацию нематериальных активов</v>
      </c>
      <c r="G57" s="1571" t="s">
        <v>1730</v>
      </c>
      <c r="H57" s="482"/>
      <c r="I57" s="482"/>
      <c r="J57" s="204" t="str">
        <f>FHD_NOTE_P_21</f>
        <v/>
      </c>
      <c r="K57" s="1561" t="str">
        <f t="shared" si="0"/>
        <v/>
      </c>
      <c r="L57" s="1561"/>
      <c r="M57" s="1561"/>
      <c r="R57" s="1561"/>
      <c r="U57" s="469"/>
      <c r="AA57" s="1557"/>
      <c r="AB57" s="1557"/>
      <c r="AC57" s="1557"/>
      <c r="AD57" s="1557"/>
      <c r="AE57" s="1557"/>
    </row>
    <row r="58" spans="1:31" s="1292" customFormat="1" ht="11.25" customHeight="1">
      <c r="A58" s="903"/>
      <c r="C58" s="1561"/>
      <c r="D58" s="1563"/>
      <c r="E58" s="471" t="str">
        <f>FHD_NUM_P_22</f>
        <v>2.7</v>
      </c>
      <c r="F58" s="870" t="str">
        <f>FHD_P_22</f>
        <v>Расходы на аренду имущества, используемого для осуществления регулируемых видов деятельности в сфере холодного водоснабжения</v>
      </c>
      <c r="G58" s="1571" t="s">
        <v>1730</v>
      </c>
      <c r="H58" s="482"/>
      <c r="I58" s="482"/>
      <c r="J58" s="204" t="str">
        <f>FHD_NOTE_P_22</f>
        <v/>
      </c>
      <c r="K58" s="1561" t="str">
        <f t="shared" si="0"/>
        <v>p</v>
      </c>
      <c r="L58" s="1561"/>
      <c r="M58" s="1561"/>
      <c r="R58" s="1561"/>
      <c r="U58" s="469"/>
      <c r="AA58" s="1557"/>
      <c r="AB58" s="1557"/>
      <c r="AC58" s="1557"/>
      <c r="AD58" s="1557"/>
      <c r="AE58" s="1557"/>
    </row>
    <row r="59" spans="1:31" s="1292" customFormat="1" ht="11.25" customHeight="1">
      <c r="A59" s="903"/>
      <c r="C59" s="1561"/>
      <c r="D59" s="500"/>
      <c r="E59" s="471" t="str">
        <f>FHD_NUM_P_23</f>
        <v>2.8</v>
      </c>
      <c r="F59" s="870" t="str">
        <f>FHD_P_23</f>
        <v>Общепроизводственные расходы, в том числе:</v>
      </c>
      <c r="G59" s="1571" t="s">
        <v>1730</v>
      </c>
      <c r="H59" s="482"/>
      <c r="I59" s="482"/>
      <c r="J59" s="204" t="str">
        <f>FHD_NOTE_P_23</f>
        <v>Указывается общая сумма общепроизводственных расходов.</v>
      </c>
      <c r="K59" s="1561" t="str">
        <f t="shared" si="0"/>
        <v>p</v>
      </c>
      <c r="L59" s="1561"/>
      <c r="M59" s="1561"/>
      <c r="R59" s="1561"/>
      <c r="U59" s="469"/>
      <c r="AA59" s="1557"/>
      <c r="AB59" s="1557"/>
      <c r="AC59" s="1557"/>
      <c r="AD59" s="1557"/>
      <c r="AE59" s="1557"/>
    </row>
    <row r="60" spans="1:31" s="1292" customFormat="1" ht="11.25" customHeight="1">
      <c r="A60" s="903"/>
      <c r="C60" s="1561"/>
      <c r="D60" s="500"/>
      <c r="E60" s="471" t="str">
        <f>FHD_NUM_P_24</f>
        <v>2.8.1</v>
      </c>
      <c r="F60" s="1575" t="str">
        <f>FHD_P_24</f>
        <v>Расходы на текущий ремонт</v>
      </c>
      <c r="G60" s="1571" t="s">
        <v>1730</v>
      </c>
      <c r="H60" s="482"/>
      <c r="I60" s="482"/>
      <c r="J60" s="204" t="str">
        <f>FHD_NOTE_P_24</f>
        <v>Указываются расходы на текущий ремонт, отнесенные к общепроизводственным расходам.</v>
      </c>
      <c r="K60" s="1561" t="str">
        <f t="shared" si="0"/>
        <v/>
      </c>
      <c r="L60" s="1561"/>
      <c r="M60" s="1561"/>
      <c r="R60" s="1561"/>
      <c r="U60" s="469"/>
      <c r="AA60" s="1557"/>
      <c r="AB60" s="1557"/>
      <c r="AC60" s="1557"/>
      <c r="AD60" s="1557"/>
      <c r="AE60" s="1557"/>
    </row>
    <row r="61" spans="1:31" s="1292" customFormat="1" ht="11.25" customHeight="1">
      <c r="A61" s="903"/>
      <c r="C61" s="1561"/>
      <c r="D61" s="500"/>
      <c r="E61" s="471" t="str">
        <f>FHD_NUM_P_25</f>
        <v>2.8.2</v>
      </c>
      <c r="F61" s="1575" t="str">
        <f>FHD_P_25</f>
        <v>Расходы на капитальный ремонт</v>
      </c>
      <c r="G61" s="1571" t="s">
        <v>1730</v>
      </c>
      <c r="H61" s="482"/>
      <c r="I61" s="482"/>
      <c r="J61" s="204" t="str">
        <f>FHD_NOTE_P_25</f>
        <v>Указываются расходы на капитальный ремонт, отнесенные к общепроизводственным расходам.</v>
      </c>
      <c r="K61" s="1561" t="str">
        <f t="shared" si="0"/>
        <v/>
      </c>
      <c r="L61" s="1561"/>
      <c r="M61" s="1561"/>
      <c r="R61" s="1561"/>
      <c r="U61" s="469"/>
      <c r="AA61" s="1557"/>
      <c r="AB61" s="1557"/>
      <c r="AC61" s="1557"/>
      <c r="AD61" s="1557"/>
      <c r="AE61" s="1557"/>
    </row>
    <row r="62" spans="1:31" s="1292" customFormat="1" ht="11.25" customHeight="1">
      <c r="A62" s="903"/>
      <c r="C62" s="1561"/>
      <c r="D62" s="1563"/>
      <c r="E62" s="471" t="str">
        <f>FHD_NUM_P_26</f>
        <v>2.9</v>
      </c>
      <c r="F62" s="870" t="str">
        <f>FHD_P_26</f>
        <v>Общехозяйственные расходы, в том числе:</v>
      </c>
      <c r="G62" s="1571" t="s">
        <v>1730</v>
      </c>
      <c r="H62" s="482"/>
      <c r="I62" s="482"/>
      <c r="J62" s="204" t="str">
        <f>FHD_NOTE_P_26</f>
        <v>Указывается общая сумма общехозяйственных расходов.</v>
      </c>
      <c r="K62" s="1561" t="str">
        <f t="shared" si="0"/>
        <v>p</v>
      </c>
      <c r="L62" s="1561"/>
      <c r="M62" s="1561"/>
      <c r="R62" s="1561"/>
      <c r="U62" s="469"/>
      <c r="AA62" s="1557"/>
      <c r="AB62" s="1557"/>
      <c r="AC62" s="1557"/>
      <c r="AD62" s="1557"/>
      <c r="AE62" s="1557"/>
    </row>
    <row r="63" spans="1:31" s="1292" customFormat="1" ht="11.25" customHeight="1">
      <c r="A63" s="903"/>
      <c r="C63" s="1561"/>
      <c r="D63" s="1563"/>
      <c r="E63" s="471" t="str">
        <f>FHD_NUM_P_27</f>
        <v>2.9.1</v>
      </c>
      <c r="F63" s="1575" t="str">
        <f>FHD_P_27</f>
        <v>Расходы на текущий ремонт</v>
      </c>
      <c r="G63" s="1571" t="s">
        <v>1730</v>
      </c>
      <c r="H63" s="482"/>
      <c r="I63" s="482"/>
      <c r="J63" s="204" t="str">
        <f>FHD_NOTE_P_27</f>
        <v>Указываются расходы на текущий ремонт, отнесенные к общехозяйственным расходам.</v>
      </c>
      <c r="K63" s="1561" t="str">
        <f t="shared" si="0"/>
        <v/>
      </c>
      <c r="L63" s="1561"/>
      <c r="M63" s="1561"/>
      <c r="R63" s="1561"/>
      <c r="U63" s="469"/>
      <c r="AA63" s="1557"/>
      <c r="AB63" s="1557"/>
      <c r="AC63" s="1557"/>
      <c r="AD63" s="1557"/>
      <c r="AE63" s="1557"/>
    </row>
    <row r="64" spans="1:31" s="1292" customFormat="1" ht="11.25" customHeight="1">
      <c r="A64" s="903"/>
      <c r="C64" s="1561"/>
      <c r="D64" s="1563"/>
      <c r="E64" s="471" t="str">
        <f>FHD_NUM_P_28</f>
        <v>2.9.2</v>
      </c>
      <c r="F64" s="1575" t="str">
        <f>FHD_P_28</f>
        <v>Расходы на капитальный ремонт</v>
      </c>
      <c r="G64" s="1571" t="s">
        <v>1730</v>
      </c>
      <c r="H64" s="482"/>
      <c r="I64" s="482"/>
      <c r="J64" s="204" t="str">
        <f>FHD_NOTE_P_28</f>
        <v>Указываются расходы на капитальный ремонт, отнесенные к общехозяйственным расходам.</v>
      </c>
      <c r="K64" s="1561" t="str">
        <f t="shared" si="0"/>
        <v/>
      </c>
      <c r="L64" s="1561"/>
      <c r="M64" s="1561"/>
      <c r="R64" s="1561"/>
      <c r="U64" s="469"/>
      <c r="AA64" s="1557"/>
      <c r="AB64" s="1557"/>
      <c r="AC64" s="1557"/>
      <c r="AD64" s="1557"/>
      <c r="AE64" s="1557"/>
    </row>
    <row r="65" spans="1:31" s="1292" customFormat="1" ht="11.25" customHeight="1">
      <c r="A65" s="903"/>
      <c r="C65" s="1561"/>
      <c r="D65" s="1563"/>
      <c r="E65" s="471" t="str">
        <f>FHD_NUM_P_29</f>
        <v>2.10</v>
      </c>
      <c r="F65" s="870" t="str">
        <f>FHD_P_29</f>
        <v>Расходы на капитальный и текущий ремонт основных средств</v>
      </c>
      <c r="G65" s="1571" t="s">
        <v>1730</v>
      </c>
      <c r="H65" s="482"/>
      <c r="I65" s="482"/>
      <c r="J65" s="20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69"/>
      <c r="AA65" s="1557"/>
      <c r="AB65" s="1557"/>
      <c r="AC65" s="1557"/>
      <c r="AD65" s="1557"/>
      <c r="AE65" s="1557"/>
    </row>
    <row r="66" spans="1:31" s="1292" customFormat="1" ht="11.25" customHeight="1">
      <c r="A66" s="903"/>
      <c r="C66" s="1561"/>
      <c r="D66" s="1563"/>
      <c r="E66" s="471" t="str">
        <f>FHD_NUM_P_30</f>
        <v>2.10.1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1" t="s">
        <v>288</v>
      </c>
      <c r="H66" s="1574" t="s">
        <v>433</v>
      </c>
      <c r="I66" s="1574" t="s">
        <v>433</v>
      </c>
      <c r="J66" s="204" t="str">
        <f>FHD_NOTE_P_30</f>
        <v/>
      </c>
      <c r="K66" s="1561" t="str">
        <f t="shared" si="0"/>
        <v/>
      </c>
      <c r="L66" s="1561">
        <f>IFERROR(MATCH("есть",B_FHD_FLAG_INDEX_1,0),0)</f>
        <v>0</v>
      </c>
      <c r="M66" s="1561"/>
      <c r="R66" s="1561"/>
      <c r="U66" s="469"/>
      <c r="AA66" s="1557"/>
      <c r="AB66" s="1557"/>
      <c r="AC66" s="1557"/>
      <c r="AD66" s="1557"/>
      <c r="AE66" s="1557"/>
    </row>
    <row r="67" spans="1:31" s="1292" customFormat="1" ht="11.25" customHeight="1">
      <c r="A67" s="2158" t="s">
        <v>1747</v>
      </c>
      <c r="C67" s="1561"/>
      <c r="D67" s="1563"/>
      <c r="E67" s="471" t="str">
        <f>FHD_NUM_P_31</f>
        <v>2.11</v>
      </c>
      <c r="F67" s="87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571" t="s">
        <v>1730</v>
      </c>
      <c r="H67" s="482"/>
      <c r="I67" s="482"/>
      <c r="J67" s="20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1" t="str">
        <f t="shared" si="0"/>
        <v>p</v>
      </c>
      <c r="L67" s="1561"/>
      <c r="M67" s="1561"/>
      <c r="R67" s="1561"/>
      <c r="U67" s="469"/>
      <c r="AA67" s="1557"/>
      <c r="AB67" s="1557"/>
      <c r="AC67" s="1557"/>
      <c r="AD67" s="1557"/>
      <c r="AE67" s="1557"/>
    </row>
    <row r="68" spans="1:31" s="1292" customFormat="1" ht="11.25" customHeight="1">
      <c r="A68" s="2158"/>
      <c r="C68" s="1561"/>
      <c r="D68" s="1563"/>
      <c r="E68" s="471" t="str">
        <f>FHD_NUM_P_32</f>
        <v>2.11.1</v>
      </c>
      <c r="F68" s="157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571" t="s">
        <v>288</v>
      </c>
      <c r="H68" s="1574" t="s">
        <v>433</v>
      </c>
      <c r="I68" s="1574" t="s">
        <v>433</v>
      </c>
      <c r="J68" s="204" t="str">
        <f>FHD_NOTE_P_32</f>
        <v/>
      </c>
      <c r="K68" s="1561" t="str">
        <f t="shared" si="0"/>
        <v/>
      </c>
      <c r="L68" s="1561">
        <f>IFERROR(MATCH("есть",B_FHD_FLAG_INDEX_2,0),0)</f>
        <v>0</v>
      </c>
      <c r="M68" s="1561"/>
      <c r="R68" s="1561"/>
      <c r="U68" s="469"/>
      <c r="AA68" s="1557"/>
      <c r="AB68" s="1557"/>
      <c r="AC68" s="1557"/>
      <c r="AD68" s="1557"/>
      <c r="AE68" s="1557"/>
    </row>
    <row r="69" spans="1:31" s="1292" customFormat="1" ht="11.25" customHeight="1">
      <c r="A69" s="903"/>
      <c r="C69" s="1561"/>
      <c r="D69" s="1563"/>
      <c r="E69" s="471" t="str">
        <f>FHD_NUM_P_33</f>
        <v>2.12</v>
      </c>
      <c r="F69" s="87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569" t="s">
        <v>1730</v>
      </c>
      <c r="H69" s="504">
        <f>SUM(H70:H71)</f>
        <v>0</v>
      </c>
      <c r="I69" s="504">
        <f>SUM(I70:I71)</f>
        <v>0</v>
      </c>
      <c r="J69" s="20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1" t="str">
        <f t="shared" si="0"/>
        <v>p</v>
      </c>
      <c r="L69" s="1561"/>
      <c r="M69" s="1561"/>
      <c r="R69" s="1561"/>
      <c r="U69" s="469"/>
      <c r="AA69" s="1557"/>
      <c r="AB69" s="1557"/>
      <c r="AC69" s="1557"/>
      <c r="AD69" s="1557"/>
      <c r="AE69" s="1557"/>
    </row>
    <row r="70" spans="1:31" s="1567" customFormat="1" ht="0.75" customHeight="1">
      <c r="A70" s="1077"/>
      <c r="D70" s="473"/>
      <c r="E70" s="720" t="str">
        <f>E69&amp;".0"</f>
        <v>2.12.0</v>
      </c>
      <c r="F70" s="907"/>
      <c r="G70" s="476"/>
      <c r="H70" s="908"/>
      <c r="I70" s="908"/>
      <c r="J70" s="909"/>
      <c r="K70" s="1561" t="str">
        <f t="shared" si="0"/>
        <v/>
      </c>
    </row>
    <row r="71" spans="1:31" s="1292" customFormat="1" ht="14.25" customHeight="1">
      <c r="A71" s="903"/>
      <c r="C71" s="1561"/>
      <c r="D71" s="1558"/>
      <c r="E71" s="495"/>
      <c r="F71" s="496" t="s">
        <v>1748</v>
      </c>
      <c r="G71" s="497"/>
      <c r="H71" s="498"/>
      <c r="I71" s="498"/>
      <c r="J71" s="215"/>
      <c r="K71" s="1561"/>
      <c r="L71" s="1561"/>
      <c r="M71" s="1561"/>
      <c r="R71" s="1561"/>
      <c r="U71" s="469"/>
      <c r="AA71" s="1557"/>
      <c r="AB71" s="1557"/>
      <c r="AC71" s="1557"/>
      <c r="AD71" s="1557"/>
      <c r="AE71" s="1557"/>
    </row>
    <row r="72" spans="1:31" s="1292" customFormat="1" ht="18.75" hidden="1" customHeight="1">
      <c r="A72" s="905" t="s">
        <v>1749</v>
      </c>
      <c r="C72" s="1561"/>
      <c r="D72" s="1563"/>
      <c r="E72" s="471" t="str">
        <f>FHD_NUM_P_34</f>
        <v/>
      </c>
      <c r="F72" s="626" t="str">
        <f>FHD_P_34</f>
        <v/>
      </c>
      <c r="G72" s="1571" t="s">
        <v>1730</v>
      </c>
      <c r="H72" s="482"/>
      <c r="I72" s="482"/>
      <c r="J72" s="204" t="str">
        <f>FHD_NOTE_P_34</f>
        <v/>
      </c>
      <c r="K72" s="468"/>
      <c r="L72" s="1561"/>
      <c r="M72" s="1561"/>
      <c r="R72" s="1561"/>
      <c r="U72" s="469"/>
      <c r="AA72" s="1557"/>
      <c r="AB72" s="1557"/>
      <c r="AC72" s="1557"/>
      <c r="AD72" s="1557"/>
      <c r="AE72" s="1557"/>
    </row>
    <row r="73" spans="1:31" s="1292" customFormat="1" ht="18.75" customHeight="1">
      <c r="A73" s="903"/>
      <c r="C73" s="1561"/>
      <c r="D73" s="500"/>
      <c r="E73" s="471" t="str">
        <f>FHD_NUM_P_35</f>
        <v>3</v>
      </c>
      <c r="F73" s="626" t="str">
        <f>FHD_P_35</f>
        <v>Чистая прибыль, полученная от регулируемого вида деятельности в сфере холодного водоснабжения, в том числе:</v>
      </c>
      <c r="G73" s="1571" t="s">
        <v>1730</v>
      </c>
      <c r="H73" s="482"/>
      <c r="I73" s="482"/>
      <c r="J73" s="204" t="str">
        <f>FHD_NOTE_P_35</f>
        <v>Указывается общая сумма чистой прибыли, полученной от регулируемого вида деятельности.</v>
      </c>
      <c r="K73" s="468"/>
      <c r="L73" s="1561"/>
      <c r="M73" s="1561"/>
      <c r="R73" s="1561"/>
      <c r="U73" s="469"/>
      <c r="AA73" s="1557"/>
      <c r="AB73" s="1557"/>
      <c r="AC73" s="1557"/>
      <c r="AD73" s="1557"/>
      <c r="AE73" s="1557"/>
    </row>
    <row r="74" spans="1:31" s="1292" customFormat="1" ht="18.75" customHeight="1">
      <c r="A74" s="903"/>
      <c r="C74" s="1561"/>
      <c r="D74" s="1563"/>
      <c r="E74" s="471" t="str">
        <f>FHD_NUM_P_36</f>
        <v>3.1</v>
      </c>
      <c r="F74" s="87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71" t="s">
        <v>1730</v>
      </c>
      <c r="H74" s="482"/>
      <c r="I74" s="482"/>
      <c r="J74" s="204" t="str">
        <f>FHD_NOTE_P_36</f>
        <v/>
      </c>
      <c r="K74" s="468"/>
      <c r="L74" s="1561"/>
      <c r="M74" s="1561"/>
      <c r="R74" s="1561"/>
      <c r="U74" s="469"/>
      <c r="AA74" s="1557"/>
      <c r="AB74" s="1557"/>
      <c r="AC74" s="1557"/>
      <c r="AD74" s="1557"/>
      <c r="AE74" s="1557"/>
    </row>
    <row r="75" spans="1:31" s="1292" customFormat="1" ht="18.75" customHeight="1">
      <c r="A75" s="903"/>
      <c r="C75" s="1561"/>
      <c r="D75" s="1563"/>
      <c r="E75" s="471" t="str">
        <f>FHD_NUM_P_37</f>
        <v>4</v>
      </c>
      <c r="F75" s="626" t="str">
        <f>FHD_P_37</f>
        <v>Изменение стоимости основных фондов, в том числе:</v>
      </c>
      <c r="G75" s="1571" t="s">
        <v>1730</v>
      </c>
      <c r="H75" s="482"/>
      <c r="I75" s="482"/>
      <c r="J75" s="204" t="str">
        <f>FHD_NOTE_P_37</f>
        <v>Указывается общее изменение стоимости основных фондов.</v>
      </c>
      <c r="K75" s="468"/>
      <c r="L75" s="1561"/>
      <c r="M75" s="1561"/>
      <c r="R75" s="1561"/>
      <c r="U75" s="469"/>
      <c r="AA75" s="1557"/>
      <c r="AB75" s="1557"/>
      <c r="AC75" s="1557"/>
      <c r="AD75" s="1557"/>
      <c r="AE75" s="1557"/>
    </row>
    <row r="76" spans="1:31" s="1292" customFormat="1" ht="18.75" customHeight="1">
      <c r="A76" s="903"/>
      <c r="C76" s="1561"/>
      <c r="D76" s="1563"/>
      <c r="E76" s="471" t="str">
        <f>FHD_NUM_P_38</f>
        <v>4.1</v>
      </c>
      <c r="F76" s="870" t="str">
        <f>FHD_P_38</f>
        <v>Изменение стоимости основных фондов за счет их ввода в эксплуатацию (вывода из эксплуатации)</v>
      </c>
      <c r="G76" s="1571" t="s">
        <v>1730</v>
      </c>
      <c r="H76" s="482"/>
      <c r="I76" s="482"/>
      <c r="J76" s="204" t="str">
        <f>FHD_NOTE_P_38</f>
        <v>Указываются общее изменение стоимости основных фондов за счет их ввода в эксплуатацию и вывода из эксплуатации.</v>
      </c>
      <c r="K76" s="468"/>
      <c r="L76" s="1561"/>
      <c r="M76" s="1561"/>
      <c r="R76" s="1561"/>
      <c r="U76" s="469"/>
      <c r="AA76" s="1557"/>
      <c r="AB76" s="1557"/>
      <c r="AC76" s="1557"/>
      <c r="AD76" s="1557"/>
      <c r="AE76" s="1557"/>
    </row>
    <row r="77" spans="1:31" s="1292" customFormat="1" ht="18.75" customHeight="1">
      <c r="A77" s="903"/>
      <c r="C77" s="1561"/>
      <c r="D77" s="1563"/>
      <c r="E77" s="471" t="str">
        <f>FHD_NUM_P_39</f>
        <v>4.1.1</v>
      </c>
      <c r="F77" s="1575" t="str">
        <f>FHD_P_39</f>
        <v>Изменение стоимости основных фондов за счет их ввода в эксплуатацию</v>
      </c>
      <c r="G77" s="1571" t="s">
        <v>1730</v>
      </c>
      <c r="H77" s="482"/>
      <c r="I77" s="482"/>
      <c r="J77" s="204" t="str">
        <f>FHD_NOTE_P_39</f>
        <v>Указываются изменение стоимости основных фондов за счет их ввода в эксплуатацию.</v>
      </c>
      <c r="K77" s="468"/>
      <c r="L77" s="1561"/>
      <c r="M77" s="1561"/>
      <c r="R77" s="1561"/>
      <c r="U77" s="469"/>
      <c r="AA77" s="1557"/>
      <c r="AB77" s="1557"/>
      <c r="AC77" s="1557"/>
      <c r="AD77" s="1557"/>
      <c r="AE77" s="1557"/>
    </row>
    <row r="78" spans="1:31" s="1292" customFormat="1" ht="18.75" customHeight="1">
      <c r="A78" s="903"/>
      <c r="C78" s="1561"/>
      <c r="D78" s="1563"/>
      <c r="E78" s="471" t="str">
        <f>FHD_NUM_P_40</f>
        <v>4.1.2</v>
      </c>
      <c r="F78" s="1575" t="str">
        <f>FHD_P_40</f>
        <v>Изменение стоимости основных фондов за счет их вывода в эксплуатацию</v>
      </c>
      <c r="G78" s="1571" t="s">
        <v>1730</v>
      </c>
      <c r="H78" s="482"/>
      <c r="I78" s="482"/>
      <c r="J78" s="204" t="str">
        <f>FHD_NOTE_P_40</f>
        <v>Указываются изменение стоимости основных фондов за счет их вывода из эксплуатации.</v>
      </c>
      <c r="K78" s="468"/>
      <c r="L78" s="1561"/>
      <c r="M78" s="1561"/>
      <c r="R78" s="1561"/>
      <c r="U78" s="469"/>
      <c r="AA78" s="1557"/>
      <c r="AB78" s="1557"/>
      <c r="AC78" s="1557"/>
      <c r="AD78" s="1557"/>
      <c r="AE78" s="1557"/>
    </row>
    <row r="79" spans="1:31" s="1292" customFormat="1" ht="18.75" customHeight="1">
      <c r="A79" s="903"/>
      <c r="C79" s="1561"/>
      <c r="D79" s="1563"/>
      <c r="E79" s="471" t="str">
        <f>FHD_NUM_P_41</f>
        <v>4.2</v>
      </c>
      <c r="F79" s="870" t="str">
        <f>FHD_P_41</f>
        <v>Изменение стоимости основных фондов за счет их переоценки</v>
      </c>
      <c r="G79" s="1569" t="s">
        <v>1730</v>
      </c>
      <c r="H79" s="482"/>
      <c r="I79" s="482"/>
      <c r="J79" s="204" t="str">
        <f>FHD_NOTE_P_41</f>
        <v/>
      </c>
      <c r="K79" s="468"/>
      <c r="L79" s="1561"/>
      <c r="M79" s="1561"/>
      <c r="R79" s="1561"/>
      <c r="U79" s="469"/>
      <c r="AA79" s="1557"/>
      <c r="AB79" s="1557"/>
      <c r="AC79" s="1557"/>
      <c r="AD79" s="1557"/>
      <c r="AE79" s="1557"/>
    </row>
    <row r="80" spans="1:31" s="1292" customFormat="1" ht="18.75" customHeight="1">
      <c r="A80" s="905" t="s">
        <v>1750</v>
      </c>
      <c r="C80" s="1561"/>
      <c r="D80" s="1563"/>
      <c r="E80" s="471" t="str">
        <f>FHD_NUM_P_42</f>
        <v>5</v>
      </c>
      <c r="F80" s="626" t="str">
        <f>FHD_P_42</f>
        <v>Валовая прибыль (убытки) от продажи товаров и услуг по регулируемым видам деятельности в сфере холодного водоснабжения</v>
      </c>
      <c r="G80" s="1571" t="s">
        <v>1730</v>
      </c>
      <c r="H80" s="892"/>
      <c r="I80" s="482"/>
      <c r="J80" s="204" t="str">
        <f>FHD_NOTE_P_42</f>
        <v/>
      </c>
      <c r="K80" s="468"/>
      <c r="L80" s="1561"/>
      <c r="M80" s="1561"/>
      <c r="R80" s="1561"/>
      <c r="U80" s="469"/>
      <c r="AA80" s="1557"/>
      <c r="AB80" s="1557"/>
      <c r="AC80" s="1557"/>
      <c r="AD80" s="1557"/>
      <c r="AE80" s="1557"/>
    </row>
    <row r="81" spans="1:31" s="1292" customFormat="1" ht="18.75" customHeight="1">
      <c r="A81" s="903"/>
      <c r="C81" s="1561"/>
      <c r="D81" s="1563"/>
      <c r="E81" s="471" t="str">
        <f>FHD_NUM_P_43</f>
        <v>6</v>
      </c>
      <c r="F81" s="626" t="str">
        <f>FHD_P_43</f>
        <v>Годовая бухгалтерская (финансовая) отчетность, включая бухгалтерский баланс и приложения к нему</v>
      </c>
      <c r="G81" s="1571" t="s">
        <v>288</v>
      </c>
      <c r="H81" s="971"/>
      <c r="I81" s="736"/>
      <c r="J81" s="204"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8"/>
      <c r="L81" s="1561"/>
      <c r="M81" s="1561"/>
      <c r="R81" s="1561"/>
      <c r="U81" s="469"/>
      <c r="AA81" s="1557"/>
      <c r="AB81" s="1557"/>
      <c r="AC81" s="1557"/>
      <c r="AD81" s="1557"/>
      <c r="AE81" s="1557"/>
    </row>
    <row r="82" spans="1:31" s="1292" customFormat="1" ht="18.75" customHeight="1">
      <c r="A82" s="2158" t="s">
        <v>1751</v>
      </c>
      <c r="C82" s="655"/>
      <c r="D82" s="653"/>
      <c r="E82" s="471" t="str">
        <f>FHD_NUM_P_44</f>
        <v>7</v>
      </c>
      <c r="F82" s="626" t="str">
        <f>FHD_P_44</f>
        <v>Объём поднятой воды</v>
      </c>
      <c r="G82" s="640" t="s">
        <v>1752</v>
      </c>
      <c r="H82" s="893"/>
      <c r="I82" s="502"/>
      <c r="J82" s="204" t="str">
        <f>FHD_NOTE_P_44</f>
        <v/>
      </c>
      <c r="K82" s="654"/>
      <c r="L82" s="655"/>
      <c r="M82" s="655"/>
      <c r="R82" s="655"/>
      <c r="U82" s="656"/>
      <c r="AA82" s="657"/>
      <c r="AB82" s="657"/>
      <c r="AC82" s="657"/>
      <c r="AD82" s="657"/>
      <c r="AE82" s="657"/>
    </row>
    <row r="83" spans="1:31" s="1292" customFormat="1" ht="18.75" customHeight="1">
      <c r="A83" s="2158"/>
      <c r="C83" s="655"/>
      <c r="D83" s="653"/>
      <c r="E83" s="471" t="str">
        <f>FHD_NUM_P_45</f>
        <v>8</v>
      </c>
      <c r="F83" s="626" t="str">
        <f>FHD_P_45</f>
        <v>Объём покупной воды</v>
      </c>
      <c r="G83" s="640" t="s">
        <v>1752</v>
      </c>
      <c r="H83" s="893"/>
      <c r="I83" s="502"/>
      <c r="J83" s="204" t="str">
        <f>FHD_NOTE_P_45</f>
        <v/>
      </c>
      <c r="K83" s="654"/>
      <c r="L83" s="655"/>
      <c r="M83" s="655"/>
      <c r="R83" s="655"/>
      <c r="U83" s="656"/>
      <c r="AA83" s="657"/>
      <c r="AB83" s="657"/>
      <c r="AC83" s="657"/>
      <c r="AD83" s="657"/>
      <c r="AE83" s="657"/>
    </row>
    <row r="84" spans="1:31" s="1292" customFormat="1" ht="18.75" customHeight="1">
      <c r="A84" s="2158"/>
      <c r="C84" s="655"/>
      <c r="D84" s="658"/>
      <c r="E84" s="471" t="str">
        <f>FHD_NUM_P_46</f>
        <v>9</v>
      </c>
      <c r="F84" s="626" t="str">
        <f>FHD_P_46</f>
        <v>Объём воды, пропущенной через очистные сооружения</v>
      </c>
      <c r="G84" s="640" t="s">
        <v>1752</v>
      </c>
      <c r="H84" s="893"/>
      <c r="I84" s="502"/>
      <c r="J84" s="204" t="str">
        <f>FHD_NOTE_P_46</f>
        <v/>
      </c>
      <c r="K84" s="654"/>
      <c r="L84" s="655"/>
      <c r="M84" s="655"/>
      <c r="R84" s="655"/>
      <c r="U84" s="656"/>
      <c r="AA84" s="657"/>
      <c r="AB84" s="657"/>
      <c r="AC84" s="657"/>
      <c r="AD84" s="657"/>
      <c r="AE84" s="657"/>
    </row>
    <row r="85" spans="1:31" s="1292" customFormat="1" ht="18.75" customHeight="1">
      <c r="A85" s="2158"/>
      <c r="C85" s="655"/>
      <c r="D85" s="653"/>
      <c r="E85" s="471" t="str">
        <f>FHD_NUM_P_47</f>
        <v>10</v>
      </c>
      <c r="F85" s="626" t="str">
        <f>FHD_P_47</f>
        <v>Объём отпущенной потребителям воды, в том числе:</v>
      </c>
      <c r="G85" s="640" t="s">
        <v>1752</v>
      </c>
      <c r="H85" s="893"/>
      <c r="I85" s="502"/>
      <c r="J85" s="204" t="str">
        <f>FHD_NOTE_P_47</f>
        <v>Указывается общий объем отпущенной потребителям воды.</v>
      </c>
      <c r="K85" s="654"/>
      <c r="L85" s="655"/>
      <c r="M85" s="655"/>
      <c r="R85" s="655"/>
      <c r="U85" s="656"/>
      <c r="AA85" s="657"/>
      <c r="AB85" s="657"/>
      <c r="AC85" s="657"/>
      <c r="AD85" s="657"/>
      <c r="AE85" s="657"/>
    </row>
    <row r="86" spans="1:31" s="1560" customFormat="1" ht="18.75" customHeight="1">
      <c r="A86" s="2158"/>
      <c r="B86" s="829"/>
      <c r="C86" s="655"/>
      <c r="D86" s="653"/>
      <c r="E86" s="471" t="str">
        <f>FHD_NUM_P_48</f>
        <v>10.1</v>
      </c>
      <c r="F86" s="626" t="str">
        <f>FHD_P_48</f>
        <v>Объём отпущенной потребителям воды, определенный по приборам учета</v>
      </c>
      <c r="G86" s="640" t="s">
        <v>1752</v>
      </c>
      <c r="H86" s="893"/>
      <c r="I86" s="502"/>
      <c r="J86" s="204" t="str">
        <f>FHD_NOTE_P_48</f>
        <v/>
      </c>
      <c r="K86" s="654"/>
      <c r="L86" s="655"/>
      <c r="M86" s="655"/>
      <c r="N86" s="829"/>
      <c r="O86" s="829"/>
      <c r="P86" s="829"/>
      <c r="Q86" s="829"/>
      <c r="R86" s="655"/>
      <c r="S86" s="829"/>
      <c r="T86" s="829"/>
      <c r="U86" s="656"/>
      <c r="V86" s="829"/>
      <c r="W86" s="829"/>
      <c r="X86" s="829"/>
      <c r="Y86" s="829"/>
      <c r="Z86" s="829"/>
      <c r="AA86" s="657"/>
      <c r="AB86" s="657"/>
      <c r="AC86" s="657"/>
      <c r="AD86" s="657"/>
      <c r="AE86" s="657"/>
    </row>
    <row r="87" spans="1:31" s="1560" customFormat="1" ht="18.75" customHeight="1">
      <c r="A87" s="2158"/>
      <c r="B87" s="829"/>
      <c r="C87" s="655"/>
      <c r="D87" s="653"/>
      <c r="E87" s="471" t="str">
        <f>FHD_NUM_P_49</f>
        <v>10.2</v>
      </c>
      <c r="F87" s="626" t="str">
        <f>FHD_P_49</f>
        <v>Объём отпущенной потребителям воды, определенный расчетным способом</v>
      </c>
      <c r="G87" s="640" t="s">
        <v>1752</v>
      </c>
      <c r="H87" s="894">
        <f>SUM(H88:H89)</f>
        <v>0</v>
      </c>
      <c r="I87" s="668">
        <f>SUM(I88:I89)</f>
        <v>0</v>
      </c>
      <c r="J87" s="204" t="str">
        <f>FHD_NOTE_P_49</f>
        <v/>
      </c>
      <c r="K87" s="654"/>
      <c r="L87" s="655"/>
      <c r="M87" s="655"/>
      <c r="N87" s="829"/>
      <c r="O87" s="829"/>
      <c r="P87" s="829"/>
      <c r="Q87" s="829"/>
      <c r="R87" s="655"/>
      <c r="S87" s="829"/>
      <c r="T87" s="829"/>
      <c r="U87" s="656"/>
      <c r="V87" s="829"/>
      <c r="W87" s="829"/>
      <c r="X87" s="829"/>
      <c r="Y87" s="829"/>
      <c r="Z87" s="829"/>
      <c r="AA87" s="657"/>
      <c r="AB87" s="657"/>
      <c r="AC87" s="657"/>
      <c r="AD87" s="657"/>
      <c r="AE87" s="657"/>
    </row>
    <row r="88" spans="1:31" s="1560" customFormat="1" ht="18.75" customHeight="1">
      <c r="A88" s="2158"/>
      <c r="B88" s="829"/>
      <c r="C88" s="655"/>
      <c r="D88" s="653"/>
      <c r="E88" s="471" t="str">
        <f>FHD_NUM_P_50</f>
        <v>10.2.1</v>
      </c>
      <c r="F88" s="626" t="str">
        <f>FHD_P_50</f>
        <v>Объём отпущенной потребителям воды, определенный по нормативам потребления коммунальных услуг</v>
      </c>
      <c r="G88" s="640" t="s">
        <v>1752</v>
      </c>
      <c r="H88" s="893"/>
      <c r="I88" s="502"/>
      <c r="J88" s="204" t="str">
        <f>FHD_NOTE_P_50</f>
        <v/>
      </c>
      <c r="K88" s="654"/>
      <c r="L88" s="655"/>
      <c r="M88" s="655"/>
      <c r="N88" s="829"/>
      <c r="O88" s="829"/>
      <c r="P88" s="829"/>
      <c r="Q88" s="829"/>
      <c r="R88" s="655"/>
      <c r="S88" s="829"/>
      <c r="T88" s="829"/>
      <c r="U88" s="656"/>
      <c r="V88" s="829"/>
      <c r="W88" s="829"/>
      <c r="X88" s="829"/>
      <c r="Y88" s="829"/>
      <c r="Z88" s="829"/>
      <c r="AA88" s="657"/>
      <c r="AB88" s="657"/>
      <c r="AC88" s="657"/>
      <c r="AD88" s="657"/>
      <c r="AE88" s="657"/>
    </row>
    <row r="89" spans="1:31" s="1560" customFormat="1" ht="18.75" customHeight="1">
      <c r="A89" s="2158"/>
      <c r="B89" s="829"/>
      <c r="C89" s="655"/>
      <c r="D89" s="653"/>
      <c r="E89" s="471" t="str">
        <f>FHD_NUM_P_51</f>
        <v>10.2.2</v>
      </c>
      <c r="F89" s="626" t="str">
        <f>FHD_P_51</f>
        <v xml:space="preserve">Объём отпущенной потребителям воды, определенный по нормативам потребления коммунальных ресурсов </v>
      </c>
      <c r="G89" s="640" t="s">
        <v>1752</v>
      </c>
      <c r="H89" s="893"/>
      <c r="I89" s="502"/>
      <c r="J89" s="204" t="str">
        <f>FHD_NOTE_P_51</f>
        <v/>
      </c>
      <c r="K89" s="654"/>
      <c r="L89" s="655"/>
      <c r="M89" s="655"/>
      <c r="N89" s="829"/>
      <c r="O89" s="829"/>
      <c r="P89" s="829"/>
      <c r="Q89" s="829"/>
      <c r="R89" s="655"/>
      <c r="S89" s="829"/>
      <c r="T89" s="829"/>
      <c r="U89" s="656"/>
      <c r="V89" s="829"/>
      <c r="W89" s="829"/>
      <c r="X89" s="829"/>
      <c r="Y89" s="829"/>
      <c r="Z89" s="829"/>
      <c r="AA89" s="657"/>
      <c r="AB89" s="657"/>
      <c r="AC89" s="657"/>
      <c r="AD89" s="657"/>
      <c r="AE89" s="657"/>
    </row>
    <row r="90" spans="1:31" s="1560" customFormat="1" ht="18.75" customHeight="1">
      <c r="A90" s="2158"/>
      <c r="B90" s="829"/>
      <c r="C90" s="655"/>
      <c r="D90" s="653"/>
      <c r="E90" s="471" t="str">
        <f>FHD_NUM_P_52</f>
        <v>11</v>
      </c>
      <c r="F90" s="626" t="str">
        <f>FHD_P_52</f>
        <v>Потери воды в сетях</v>
      </c>
      <c r="G90" s="640" t="s">
        <v>1644</v>
      </c>
      <c r="H90" s="892"/>
      <c r="I90" s="482"/>
      <c r="J90" s="204" t="str">
        <f>FHD_NOTE_P_52</f>
        <v/>
      </c>
      <c r="K90" s="654"/>
      <c r="L90" s="655"/>
      <c r="M90" s="655"/>
      <c r="N90" s="829"/>
      <c r="O90" s="829"/>
      <c r="P90" s="829"/>
      <c r="Q90" s="829"/>
      <c r="R90" s="655"/>
      <c r="S90" s="829"/>
      <c r="T90" s="829"/>
      <c r="U90" s="656"/>
      <c r="V90" s="829"/>
      <c r="W90" s="829"/>
      <c r="X90" s="829"/>
      <c r="Y90" s="829"/>
      <c r="Z90" s="829"/>
      <c r="AA90" s="657"/>
      <c r="AB90" s="657"/>
      <c r="AC90" s="657"/>
      <c r="AD90" s="657"/>
      <c r="AE90" s="657"/>
    </row>
    <row r="91" spans="1:31" s="1292" customFormat="1" ht="18.75" hidden="1" customHeight="1">
      <c r="A91" s="2158" t="s">
        <v>1753</v>
      </c>
      <c r="C91" s="655"/>
      <c r="D91" s="653"/>
      <c r="E91" s="471" t="str">
        <f>FHD_NUM_P_53</f>
        <v/>
      </c>
      <c r="F91" s="626" t="str">
        <f>FHD_P_53</f>
        <v/>
      </c>
      <c r="G91" s="640" t="s">
        <v>1752</v>
      </c>
      <c r="H91" s="893"/>
      <c r="I91" s="502"/>
      <c r="J91" s="204" t="str">
        <f>FHD_NOTE_P_53</f>
        <v/>
      </c>
      <c r="K91" s="654"/>
      <c r="L91" s="655"/>
      <c r="M91" s="655"/>
      <c r="R91" s="655"/>
      <c r="U91" s="656"/>
      <c r="AA91" s="657"/>
      <c r="AB91" s="657"/>
      <c r="AC91" s="657"/>
      <c r="AD91" s="657"/>
      <c r="AE91" s="657"/>
    </row>
    <row r="92" spans="1:31" s="1292" customFormat="1" ht="18.75" hidden="1" customHeight="1">
      <c r="A92" s="2158"/>
      <c r="C92" s="655"/>
      <c r="D92" s="653"/>
      <c r="E92" s="471" t="str">
        <f>FHD_NUM_P_54</f>
        <v/>
      </c>
      <c r="F92" s="626" t="str">
        <f>FHD_P_54</f>
        <v/>
      </c>
      <c r="G92" s="640" t="s">
        <v>1752</v>
      </c>
      <c r="H92" s="893"/>
      <c r="I92" s="502"/>
      <c r="J92" s="204" t="str">
        <f>FHD_NOTE_P_54</f>
        <v/>
      </c>
      <c r="K92" s="654"/>
      <c r="L92" s="655"/>
      <c r="M92" s="655"/>
      <c r="R92" s="655"/>
      <c r="U92" s="656"/>
      <c r="AA92" s="657"/>
      <c r="AB92" s="657"/>
      <c r="AC92" s="657"/>
      <c r="AD92" s="657"/>
      <c r="AE92" s="657"/>
    </row>
    <row r="93" spans="1:31" s="1292" customFormat="1" ht="18.75" hidden="1" customHeight="1">
      <c r="A93" s="2158"/>
      <c r="C93" s="655"/>
      <c r="D93" s="658"/>
      <c r="E93" s="471" t="str">
        <f>FHD_NUM_P_55</f>
        <v/>
      </c>
      <c r="F93" s="626" t="str">
        <f>FHD_P_55</f>
        <v/>
      </c>
      <c r="G93" s="808"/>
      <c r="H93" s="893"/>
      <c r="I93" s="502"/>
      <c r="J93" s="204" t="str">
        <f>FHD_NOTE_P_55</f>
        <v/>
      </c>
      <c r="K93" s="654"/>
      <c r="L93" s="655"/>
      <c r="M93" s="655"/>
      <c r="R93" s="655"/>
      <c r="U93" s="656"/>
      <c r="AA93" s="657"/>
      <c r="AB93" s="657"/>
      <c r="AC93" s="657"/>
      <c r="AD93" s="657"/>
      <c r="AE93" s="657"/>
    </row>
    <row r="94" spans="1:31" s="1292" customFormat="1" ht="18.75" hidden="1" customHeight="1">
      <c r="A94" s="2158"/>
      <c r="C94" s="655"/>
      <c r="D94" s="653"/>
      <c r="E94" s="471" t="str">
        <f>FHD_NUM_P_56</f>
        <v/>
      </c>
      <c r="F94" s="626" t="str">
        <f>FHD_P_56</f>
        <v/>
      </c>
      <c r="G94" s="640" t="s">
        <v>860</v>
      </c>
      <c r="H94" s="893"/>
      <c r="I94" s="502"/>
      <c r="J94" s="204" t="str">
        <f>FHD_NOTE_P_56</f>
        <v/>
      </c>
      <c r="K94" s="654"/>
      <c r="L94" s="655"/>
      <c r="M94" s="655"/>
      <c r="R94" s="655"/>
      <c r="U94" s="656"/>
      <c r="AA94" s="657"/>
      <c r="AB94" s="657"/>
      <c r="AC94" s="657"/>
      <c r="AD94" s="657"/>
      <c r="AE94" s="657"/>
    </row>
    <row r="95" spans="1:31" s="1560" customFormat="1" ht="18.75" hidden="1" customHeight="1">
      <c r="A95" s="2158"/>
      <c r="B95" s="829"/>
      <c r="C95" s="655"/>
      <c r="D95" s="653"/>
      <c r="E95" s="471" t="str">
        <f>FHD_NUM_P_57</f>
        <v/>
      </c>
      <c r="F95" s="626" t="str">
        <f>FHD_P_57</f>
        <v/>
      </c>
      <c r="G95" s="640" t="s">
        <v>1644</v>
      </c>
      <c r="H95" s="892"/>
      <c r="I95" s="482"/>
      <c r="J95" s="204" t="str">
        <f>FHD_NOTE_P_57</f>
        <v/>
      </c>
      <c r="K95" s="654"/>
      <c r="L95" s="655"/>
      <c r="M95" s="655"/>
      <c r="N95" s="829"/>
      <c r="O95" s="829"/>
      <c r="P95" s="829"/>
      <c r="Q95" s="829"/>
      <c r="R95" s="655"/>
      <c r="S95" s="829"/>
      <c r="T95" s="829"/>
      <c r="U95" s="656"/>
      <c r="V95" s="829"/>
      <c r="W95" s="829"/>
      <c r="X95" s="829"/>
      <c r="Y95" s="829"/>
      <c r="Z95" s="829"/>
      <c r="AA95" s="657"/>
      <c r="AB95" s="657"/>
      <c r="AC95" s="657"/>
      <c r="AD95" s="657"/>
      <c r="AE95" s="657"/>
    </row>
    <row r="96" spans="1:31" ht="18.75" hidden="1" customHeight="1">
      <c r="A96" s="2158" t="s">
        <v>1754</v>
      </c>
      <c r="D96" s="1563"/>
      <c r="E96" s="471" t="str">
        <f>FHD_NUM_P_58</f>
        <v/>
      </c>
      <c r="F96" s="626" t="str">
        <f>FHD_P_58</f>
        <v/>
      </c>
      <c r="G96" s="640" t="s">
        <v>1752</v>
      </c>
      <c r="H96" s="893"/>
      <c r="I96" s="502"/>
      <c r="J96" s="204" t="str">
        <f>FHD_NOTE_P_58</f>
        <v/>
      </c>
      <c r="K96" s="468"/>
    </row>
    <row r="97" spans="1:31" ht="18.75" hidden="1" customHeight="1">
      <c r="A97" s="2158"/>
      <c r="D97" s="1563"/>
      <c r="E97" s="471" t="str">
        <f>FHD_NUM_P_59</f>
        <v/>
      </c>
      <c r="F97" s="626" t="str">
        <f>FHD_P_59</f>
        <v/>
      </c>
      <c r="G97" s="640" t="s">
        <v>1752</v>
      </c>
      <c r="H97" s="893"/>
      <c r="I97" s="502"/>
      <c r="J97" s="204" t="str">
        <f>FHD_NOTE_P_59</f>
        <v/>
      </c>
      <c r="K97" s="468"/>
    </row>
    <row r="98" spans="1:31" ht="18.75" hidden="1" customHeight="1">
      <c r="A98" s="2158"/>
      <c r="D98" s="1563"/>
      <c r="E98" s="471" t="str">
        <f>FHD_NUM_P_60</f>
        <v/>
      </c>
      <c r="F98" s="626" t="str">
        <f>FHD_P_60</f>
        <v/>
      </c>
      <c r="G98" s="640" t="s">
        <v>1752</v>
      </c>
      <c r="H98" s="893"/>
      <c r="I98" s="502"/>
      <c r="J98" s="204" t="str">
        <f>FHD_NOTE_P_60</f>
        <v/>
      </c>
      <c r="K98" s="468"/>
    </row>
    <row r="99" spans="1:31" s="1292" customFormat="1" ht="18.75" hidden="1" customHeight="1">
      <c r="A99" s="2158" t="s">
        <v>1755</v>
      </c>
      <c r="C99" s="1561"/>
      <c r="D99" s="1563"/>
      <c r="E99" s="471" t="str">
        <f>FHD_NUM_P_61</f>
        <v/>
      </c>
      <c r="F99" s="626" t="str">
        <f>FHD_P_61</f>
        <v/>
      </c>
      <c r="G99" s="1571" t="s">
        <v>643</v>
      </c>
      <c r="H99" s="895"/>
      <c r="I99" s="661"/>
      <c r="J99" s="204" t="str">
        <f>FHD_NOTE_P_61</f>
        <v/>
      </c>
      <c r="K99" s="468"/>
      <c r="L99" s="1561"/>
      <c r="M99" s="1561"/>
      <c r="R99" s="1561"/>
      <c r="U99" s="469"/>
      <c r="AA99" s="1557"/>
      <c r="AB99" s="1557"/>
      <c r="AC99" s="1557"/>
      <c r="AD99" s="1557"/>
      <c r="AE99" s="1557"/>
    </row>
    <row r="100" spans="1:31" s="1567" customFormat="1" ht="0.75" hidden="1" customHeight="1">
      <c r="A100" s="2158"/>
      <c r="D100" s="473"/>
      <c r="E100" s="720" t="str">
        <f>E99&amp;".0"</f>
        <v>.0</v>
      </c>
      <c r="F100" s="910"/>
      <c r="G100" s="911"/>
      <c r="H100" s="908"/>
      <c r="I100" s="908"/>
      <c r="J100" s="912"/>
    </row>
    <row r="101" spans="1:31" ht="15" hidden="1" customHeight="1">
      <c r="A101" s="2158"/>
      <c r="D101" s="1558"/>
      <c r="E101" s="887"/>
      <c r="F101" s="888" t="s">
        <v>1583</v>
      </c>
      <c r="G101" s="497"/>
      <c r="H101" s="498"/>
      <c r="I101" s="498"/>
      <c r="J101" s="920" t="s">
        <v>1756</v>
      </c>
      <c r="K101" s="468"/>
    </row>
    <row r="102" spans="1:31" s="1292" customFormat="1" ht="18.75" hidden="1" customHeight="1">
      <c r="A102" s="2158"/>
      <c r="C102" s="1561"/>
      <c r="D102" s="1563"/>
      <c r="E102" s="471" t="str">
        <f>FHD_NUM_P_62</f>
        <v/>
      </c>
      <c r="F102" s="626" t="str">
        <f>FHD_P_62</f>
        <v/>
      </c>
      <c r="G102" s="1568" t="s">
        <v>643</v>
      </c>
      <c r="H102" s="482"/>
      <c r="I102" s="482"/>
      <c r="J102" s="204" t="str">
        <f>FHD_NOTE_P_62</f>
        <v/>
      </c>
      <c r="K102" s="468"/>
      <c r="L102" s="1561"/>
      <c r="M102" s="1561"/>
      <c r="R102" s="1561"/>
      <c r="U102" s="469"/>
      <c r="AA102" s="1557"/>
      <c r="AB102" s="1557"/>
      <c r="AC102" s="1557"/>
      <c r="AD102" s="1557"/>
      <c r="AE102" s="1557"/>
    </row>
    <row r="103" spans="1:31" s="1292" customFormat="1" ht="18.75" hidden="1" customHeight="1">
      <c r="A103" s="2158"/>
      <c r="C103" s="1561"/>
      <c r="D103" s="1563"/>
      <c r="E103" s="471" t="str">
        <f>FHD_NUM_P_63</f>
        <v/>
      </c>
      <c r="F103" s="626" t="str">
        <f>FHD_P_63</f>
        <v/>
      </c>
      <c r="G103" s="1568" t="s">
        <v>860</v>
      </c>
      <c r="H103" s="502"/>
      <c r="I103" s="502"/>
      <c r="J103" s="204" t="str">
        <f>FHD_NOTE_P_63</f>
        <v/>
      </c>
      <c r="K103" s="468"/>
      <c r="L103" s="1561"/>
      <c r="M103" s="1561"/>
      <c r="R103" s="1561"/>
      <c r="U103" s="469"/>
      <c r="AA103" s="1557"/>
      <c r="AB103" s="1557"/>
      <c r="AC103" s="1557"/>
      <c r="AD103" s="1557"/>
      <c r="AE103" s="1557"/>
    </row>
    <row r="104" spans="1:31" s="1292" customFormat="1" ht="18.75" hidden="1" customHeight="1">
      <c r="A104" s="2158"/>
      <c r="C104" s="1561" t="s">
        <v>1757</v>
      </c>
      <c r="D104" s="1563"/>
      <c r="E104" s="471" t="str">
        <f>FHD_NUM_P_64</f>
        <v/>
      </c>
      <c r="F104" s="626" t="str">
        <f>FHD_P_64</f>
        <v/>
      </c>
      <c r="G104" s="1568" t="s">
        <v>860</v>
      </c>
      <c r="H104" s="470"/>
      <c r="I104" s="470"/>
      <c r="J104" s="204" t="str">
        <f>FHD_NOTE_P_64</f>
        <v/>
      </c>
      <c r="K104" s="468"/>
      <c r="L104" s="1561"/>
      <c r="M104" s="1561"/>
      <c r="R104" s="1561"/>
      <c r="U104" s="469"/>
      <c r="AA104" s="1557"/>
      <c r="AB104" s="1557"/>
      <c r="AC104" s="1557"/>
      <c r="AD104" s="1557"/>
      <c r="AE104" s="1557"/>
    </row>
    <row r="105" spans="1:31" s="1292" customFormat="1" ht="18.75" hidden="1" customHeight="1">
      <c r="A105" s="2158"/>
      <c r="C105" s="1561"/>
      <c r="D105" s="1563"/>
      <c r="E105" s="471" t="str">
        <f>FHD_NUM_P_65</f>
        <v/>
      </c>
      <c r="F105" s="626" t="str">
        <f>FHD_P_65</f>
        <v/>
      </c>
      <c r="G105" s="1568" t="s">
        <v>860</v>
      </c>
      <c r="H105" s="502"/>
      <c r="I105" s="502"/>
      <c r="J105" s="204" t="str">
        <f>FHD_NOTE_P_65</f>
        <v/>
      </c>
      <c r="K105" s="468"/>
      <c r="L105" s="1561"/>
      <c r="M105" s="1561"/>
      <c r="R105" s="1561"/>
      <c r="U105" s="469"/>
      <c r="AA105" s="1557"/>
      <c r="AB105" s="1557"/>
      <c r="AC105" s="1557"/>
      <c r="AD105" s="1557"/>
      <c r="AE105" s="1557"/>
    </row>
    <row r="106" spans="1:31" s="1292" customFormat="1" ht="18.75" hidden="1" customHeight="1">
      <c r="A106" s="2158"/>
      <c r="C106" s="1561"/>
      <c r="D106" s="1563"/>
      <c r="E106" s="471" t="str">
        <f>FHD_NUM_P_66</f>
        <v/>
      </c>
      <c r="F106" s="870" t="str">
        <f>FHD_P_66</f>
        <v/>
      </c>
      <c r="G106" s="1568" t="s">
        <v>860</v>
      </c>
      <c r="H106" s="502"/>
      <c r="I106" s="502"/>
      <c r="J106" s="204" t="str">
        <f>FHD_NOTE_P_66</f>
        <v/>
      </c>
      <c r="K106" s="468"/>
      <c r="L106" s="1561"/>
      <c r="M106" s="1561"/>
      <c r="R106" s="1561"/>
      <c r="U106" s="469"/>
      <c r="AA106" s="1557"/>
      <c r="AB106" s="1557"/>
      <c r="AC106" s="1557"/>
      <c r="AD106" s="1557"/>
      <c r="AE106" s="1557"/>
    </row>
    <row r="107" spans="1:31" s="1292" customFormat="1" ht="18.75" hidden="1" customHeight="1">
      <c r="A107" s="2158"/>
      <c r="C107" s="1561"/>
      <c r="D107" s="1563"/>
      <c r="E107" s="471" t="str">
        <f>FHD_NUM_P_67</f>
        <v/>
      </c>
      <c r="F107" s="1575" t="str">
        <f>FHD_P_67</f>
        <v/>
      </c>
      <c r="G107" s="1568" t="s">
        <v>860</v>
      </c>
      <c r="H107" s="502"/>
      <c r="I107" s="502"/>
      <c r="J107" s="204" t="str">
        <f>FHD_NOTE_P_67</f>
        <v/>
      </c>
      <c r="K107" s="468"/>
      <c r="L107" s="1561"/>
      <c r="M107" s="1561"/>
      <c r="R107" s="1561"/>
      <c r="U107" s="469"/>
      <c r="AA107" s="1557"/>
      <c r="AB107" s="1557"/>
      <c r="AC107" s="1557"/>
      <c r="AD107" s="1557"/>
      <c r="AE107" s="1557"/>
    </row>
    <row r="108" spans="1:31" s="1292" customFormat="1" ht="18.75" hidden="1" customHeight="1">
      <c r="A108" s="2158"/>
      <c r="C108" s="1561"/>
      <c r="D108" s="1563"/>
      <c r="E108" s="471" t="str">
        <f>FHD_NUM_P_68</f>
        <v/>
      </c>
      <c r="F108" s="870" t="str">
        <f>FHD_P_68</f>
        <v/>
      </c>
      <c r="G108" s="1568" t="s">
        <v>860</v>
      </c>
      <c r="H108" s="502"/>
      <c r="I108" s="502"/>
      <c r="J108" s="204" t="str">
        <f>FHD_NOTE_P_68</f>
        <v/>
      </c>
      <c r="K108" s="468"/>
      <c r="L108" s="1561"/>
      <c r="M108" s="1561"/>
      <c r="R108" s="1561"/>
      <c r="U108" s="469"/>
      <c r="AA108" s="1557"/>
      <c r="AB108" s="1557"/>
      <c r="AC108" s="1557"/>
      <c r="AD108" s="1557"/>
      <c r="AE108" s="1557"/>
    </row>
    <row r="109" spans="1:31" s="1292" customFormat="1" ht="18.75" hidden="1" customHeight="1">
      <c r="A109" s="2158"/>
      <c r="C109" s="1561"/>
      <c r="D109" s="1563"/>
      <c r="E109" s="471" t="str">
        <f>FHD_NUM_P_69</f>
        <v/>
      </c>
      <c r="F109" s="870" t="str">
        <f>FHD_P_69</f>
        <v/>
      </c>
      <c r="G109" s="1568" t="s">
        <v>860</v>
      </c>
      <c r="H109" s="502"/>
      <c r="I109" s="502"/>
      <c r="J109" s="204" t="str">
        <f>FHD_NOTE_P_69</f>
        <v/>
      </c>
      <c r="K109" s="468"/>
      <c r="L109" s="1561"/>
      <c r="M109" s="1561"/>
      <c r="R109" s="1561"/>
      <c r="U109" s="469"/>
      <c r="AA109" s="1557"/>
      <c r="AB109" s="1557"/>
      <c r="AC109" s="1557"/>
      <c r="AD109" s="1557"/>
      <c r="AE109" s="1557"/>
    </row>
    <row r="110" spans="1:31" s="1292" customFormat="1" ht="22.5" hidden="1" customHeight="1">
      <c r="A110" s="2158"/>
      <c r="C110" s="1561"/>
      <c r="D110" s="1563"/>
      <c r="E110" s="471" t="str">
        <f>FHD_NUM_P_70</f>
        <v/>
      </c>
      <c r="F110" s="626" t="str">
        <f>FHD_P_70</f>
        <v/>
      </c>
      <c r="G110" s="1568" t="s">
        <v>1758</v>
      </c>
      <c r="H110" s="482"/>
      <c r="I110" s="482"/>
      <c r="J110" s="204" t="str">
        <f>FHD_NOTE_P_70</f>
        <v/>
      </c>
      <c r="K110" s="468"/>
      <c r="L110" s="1561"/>
      <c r="M110" s="1561"/>
      <c r="R110" s="1561"/>
      <c r="U110" s="469"/>
      <c r="AA110" s="1557"/>
      <c r="AB110" s="1557"/>
      <c r="AC110" s="1557"/>
      <c r="AD110" s="1557"/>
      <c r="AE110" s="1557"/>
    </row>
    <row r="111" spans="1:31" s="1292" customFormat="1" ht="22.5" hidden="1" customHeight="1">
      <c r="A111" s="2158"/>
      <c r="C111" s="1561"/>
      <c r="D111" s="1563"/>
      <c r="E111" s="471" t="str">
        <f>FHD_NUM_P_71</f>
        <v/>
      </c>
      <c r="F111" s="626" t="str">
        <f>FHD_P_71</f>
        <v/>
      </c>
      <c r="G111" s="1568" t="s">
        <v>1758</v>
      </c>
      <c r="H111" s="482"/>
      <c r="I111" s="482"/>
      <c r="J111" s="204" t="str">
        <f>FHD_NOTE_P_71</f>
        <v/>
      </c>
      <c r="K111" s="468"/>
      <c r="L111" s="1561"/>
      <c r="M111" s="1561"/>
      <c r="R111" s="1561"/>
      <c r="U111" s="469"/>
      <c r="AA111" s="1557"/>
      <c r="AB111" s="1557"/>
      <c r="AC111" s="1557"/>
      <c r="AD111" s="1557"/>
      <c r="AE111" s="1557"/>
    </row>
    <row r="112" spans="1:31" ht="18.75" customHeight="1">
      <c r="D112" s="1563"/>
      <c r="E112" s="471" t="str">
        <f>FHD_NUM_P_72</f>
        <v>12</v>
      </c>
      <c r="F112" s="626" t="str">
        <f>FHD_P_72</f>
        <v>Среднесписочная численность основного производственного персонала</v>
      </c>
      <c r="G112" s="885" t="s">
        <v>1759</v>
      </c>
      <c r="H112" s="502"/>
      <c r="I112" s="502"/>
      <c r="J112" s="204" t="str">
        <f>FHD_NOTE_P_72</f>
        <v/>
      </c>
      <c r="K112" s="468"/>
    </row>
    <row r="113" spans="1:31" ht="18.75" hidden="1" customHeight="1">
      <c r="A113" s="905" t="s">
        <v>1760</v>
      </c>
      <c r="D113" s="1563"/>
      <c r="E113" s="471" t="str">
        <f>FHD_NUM_P_73</f>
        <v/>
      </c>
      <c r="F113" s="626" t="str">
        <f>FHD_P_73</f>
        <v/>
      </c>
      <c r="G113" s="886" t="s">
        <v>1759</v>
      </c>
      <c r="H113" s="884"/>
      <c r="I113" s="884"/>
      <c r="J113" s="204" t="str">
        <f>FHD_NOTE_P_73</f>
        <v/>
      </c>
      <c r="K113" s="468"/>
    </row>
    <row r="114" spans="1:31" ht="33.75" customHeight="1">
      <c r="A114" s="905" t="s">
        <v>1761</v>
      </c>
      <c r="D114" s="1563"/>
      <c r="E114" s="471" t="str">
        <f>FHD_NUM_P_74</f>
        <v>13</v>
      </c>
      <c r="F114" s="626" t="str">
        <f>FHD_P_74</f>
        <v>Удельный расход электрической энергии на подачу воды в сеть</v>
      </c>
      <c r="G114" s="885" t="s">
        <v>1762</v>
      </c>
      <c r="H114" s="502"/>
      <c r="I114" s="502"/>
      <c r="J114" s="204" t="str">
        <f>FHD_NOTE_P_74</f>
        <v/>
      </c>
      <c r="K114" s="468"/>
    </row>
    <row r="115" spans="1:31" s="1560" customFormat="1" ht="18.75" customHeight="1">
      <c r="A115" s="2158" t="s">
        <v>1763</v>
      </c>
      <c r="B115" s="829"/>
      <c r="C115" s="655"/>
      <c r="D115" s="653"/>
      <c r="E115" s="471" t="str">
        <f>FHD_NUM_P_75</f>
        <v>14</v>
      </c>
      <c r="F115" s="626" t="str">
        <f>FHD_P_75</f>
        <v>Расход воды на собственные нужды, в том числе:</v>
      </c>
      <c r="G115" s="885" t="s">
        <v>1644</v>
      </c>
      <c r="H115" s="482"/>
      <c r="I115" s="482"/>
      <c r="J115" s="204" t="str">
        <f>FHD_NOTE_P_75</f>
        <v>Указывается доля общего расхода воды на собственные нужны от объема отпуска воды потребителям.</v>
      </c>
      <c r="K115" s="654"/>
      <c r="L115" s="655"/>
      <c r="M115" s="655"/>
      <c r="N115" s="829"/>
      <c r="O115" s="829"/>
      <c r="P115" s="829"/>
      <c r="Q115" s="829"/>
      <c r="R115" s="655"/>
      <c r="S115" s="829"/>
      <c r="T115" s="829"/>
      <c r="U115" s="656"/>
      <c r="V115" s="829"/>
      <c r="W115" s="829"/>
      <c r="X115" s="829"/>
      <c r="Y115" s="829"/>
      <c r="Z115" s="829"/>
      <c r="AA115" s="657"/>
      <c r="AB115" s="657"/>
      <c r="AC115" s="657"/>
      <c r="AD115" s="657"/>
      <c r="AE115" s="657"/>
    </row>
    <row r="116" spans="1:31" s="1560" customFormat="1" ht="18.75" customHeight="1">
      <c r="A116" s="2158"/>
      <c r="B116" s="829"/>
      <c r="C116" s="655"/>
      <c r="D116" s="653"/>
      <c r="E116" s="471" t="str">
        <f>FHD_NUM_P_76</f>
        <v>14.1</v>
      </c>
      <c r="F116" s="626" t="str">
        <f>FHD_P_76</f>
        <v>Расход воды на хозяйственно-бытовые нужды</v>
      </c>
      <c r="G116" s="885" t="s">
        <v>1644</v>
      </c>
      <c r="H116" s="482"/>
      <c r="I116" s="482"/>
      <c r="J116" s="204" t="str">
        <f>FHD_NOTE_P_76</f>
        <v>Указывается доля расхода воды на хозяйственно-бытовые нужны от объема отпуска воды потребителям.</v>
      </c>
      <c r="K116" s="654"/>
      <c r="L116" s="655"/>
      <c r="M116" s="655"/>
      <c r="N116" s="829"/>
      <c r="O116" s="829"/>
      <c r="P116" s="829"/>
      <c r="Q116" s="829"/>
      <c r="R116" s="655"/>
      <c r="S116" s="829"/>
      <c r="T116" s="829"/>
      <c r="U116" s="656"/>
      <c r="V116" s="829"/>
      <c r="W116" s="829"/>
      <c r="X116" s="829"/>
      <c r="Y116" s="829"/>
      <c r="Z116" s="829"/>
      <c r="AA116" s="657"/>
      <c r="AB116" s="657"/>
      <c r="AC116" s="657"/>
      <c r="AD116" s="657"/>
      <c r="AE116" s="657"/>
    </row>
    <row r="117" spans="1:31" s="1560" customFormat="1" ht="18.75" customHeight="1">
      <c r="A117" s="2158"/>
      <c r="B117" s="829"/>
      <c r="C117" s="655"/>
      <c r="D117" s="653"/>
      <c r="E117" s="471" t="str">
        <f>FHD_NUM_P_77</f>
        <v>15</v>
      </c>
      <c r="F117" s="626" t="str">
        <f>FHD_P_77</f>
        <v>Показатель использования производственных объектов (по объему перекачки), в том числе:</v>
      </c>
      <c r="G117" s="885" t="s">
        <v>1644</v>
      </c>
      <c r="H117" s="482"/>
      <c r="I117" s="482"/>
      <c r="J117" s="204"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4"/>
      <c r="L117" s="655"/>
      <c r="M117" s="655"/>
      <c r="N117" s="829"/>
      <c r="O117" s="829"/>
      <c r="P117" s="829"/>
      <c r="Q117" s="829"/>
      <c r="R117" s="655"/>
      <c r="S117" s="829"/>
      <c r="T117" s="829"/>
      <c r="U117" s="656"/>
      <c r="V117" s="829"/>
      <c r="W117" s="829"/>
      <c r="X117" s="829"/>
      <c r="Y117" s="829"/>
      <c r="Z117" s="829"/>
      <c r="AA117" s="657"/>
      <c r="AB117" s="657"/>
      <c r="AC117" s="657"/>
      <c r="AD117" s="657"/>
      <c r="AE117" s="657"/>
    </row>
    <row r="118" spans="1:31" s="1567" customFormat="1" ht="0.75" customHeight="1">
      <c r="A118" s="2158"/>
      <c r="D118" s="473"/>
      <c r="E118" s="720" t="str">
        <f>E117&amp;".0"</f>
        <v>15.0</v>
      </c>
      <c r="F118" s="913"/>
      <c r="G118" s="1576"/>
      <c r="H118" s="908"/>
      <c r="I118" s="908"/>
      <c r="J118" s="912"/>
    </row>
    <row r="119" spans="1:31" s="1560" customFormat="1" ht="15" customHeight="1">
      <c r="A119" s="2158"/>
      <c r="B119" s="829"/>
      <c r="C119" s="655"/>
      <c r="D119" s="665"/>
      <c r="E119" s="889"/>
      <c r="F119" s="890" t="s">
        <v>1764</v>
      </c>
      <c r="G119" s="666"/>
      <c r="H119" s="667"/>
      <c r="I119" s="667"/>
      <c r="J119" s="919" t="s">
        <v>1765</v>
      </c>
      <c r="K119" s="654"/>
      <c r="L119" s="655"/>
      <c r="M119" s="655"/>
      <c r="N119" s="829"/>
      <c r="O119" s="829"/>
      <c r="P119" s="829"/>
      <c r="Q119" s="829"/>
      <c r="R119" s="655"/>
      <c r="S119" s="829"/>
      <c r="T119" s="829"/>
      <c r="U119" s="656"/>
      <c r="V119" s="829"/>
      <c r="W119" s="829"/>
      <c r="X119" s="829"/>
      <c r="Y119" s="829"/>
      <c r="Z119" s="829"/>
      <c r="AA119" s="657"/>
      <c r="AB119" s="657"/>
      <c r="AC119" s="657"/>
      <c r="AD119" s="657"/>
      <c r="AE119" s="657"/>
    </row>
    <row r="120" spans="1:31" ht="22.5" hidden="1" customHeight="1">
      <c r="A120" s="2158" t="s">
        <v>1766</v>
      </c>
      <c r="D120" s="1563"/>
      <c r="E120" s="471" t="str">
        <f>FHD_NUM_P_78</f>
        <v/>
      </c>
      <c r="F120" s="626" t="str">
        <f>FHD_P_78</f>
        <v/>
      </c>
      <c r="G120" s="1568" t="s">
        <v>1736</v>
      </c>
      <c r="H120" s="502"/>
      <c r="I120" s="502"/>
      <c r="J120" s="204" t="str">
        <f>FHD_NOTE_P_78</f>
        <v/>
      </c>
      <c r="K120" s="468"/>
    </row>
    <row r="121" spans="1:31" s="1567" customFormat="1" ht="0.75" hidden="1" customHeight="1">
      <c r="A121" s="2158"/>
      <c r="D121" s="473"/>
      <c r="E121" s="720" t="str">
        <f>E120&amp;".0"</f>
        <v>.0</v>
      </c>
      <c r="F121" s="913"/>
      <c r="G121" s="1576"/>
      <c r="H121" s="908"/>
      <c r="I121" s="908"/>
      <c r="J121" s="912"/>
    </row>
    <row r="122" spans="1:31" ht="15" hidden="1" customHeight="1">
      <c r="A122" s="2158"/>
      <c r="D122" s="1558"/>
      <c r="E122" s="495"/>
      <c r="F122" s="505" t="s">
        <v>1583</v>
      </c>
      <c r="G122" s="497"/>
      <c r="H122" s="498"/>
      <c r="I122" s="498"/>
      <c r="J122" s="920" t="s">
        <v>1767</v>
      </c>
      <c r="K122" s="468"/>
    </row>
    <row r="123" spans="1:31" ht="22.5" hidden="1" customHeight="1">
      <c r="A123" s="2158"/>
      <c r="D123" s="1563"/>
      <c r="E123" s="471" t="str">
        <f>FHD_NUM_P_79</f>
        <v/>
      </c>
      <c r="F123" s="626" t="str">
        <f>FHD_P_79</f>
        <v/>
      </c>
      <c r="G123" s="1571" t="s">
        <v>1738</v>
      </c>
      <c r="H123" s="502"/>
      <c r="I123" s="502"/>
      <c r="J123" s="204" t="str">
        <f>FHD_NOTE_P_79</f>
        <v/>
      </c>
      <c r="K123" s="468"/>
    </row>
    <row r="124" spans="1:31" s="1567" customFormat="1" ht="0.75" hidden="1" customHeight="1">
      <c r="A124" s="2158"/>
      <c r="D124" s="473"/>
      <c r="E124" s="720" t="str">
        <f>E123&amp;".0"</f>
        <v>.0</v>
      </c>
      <c r="F124" s="914"/>
      <c r="G124" s="1576"/>
      <c r="H124" s="908"/>
      <c r="I124" s="908"/>
      <c r="J124" s="912"/>
    </row>
    <row r="125" spans="1:31" ht="15" hidden="1" customHeight="1">
      <c r="A125" s="2158"/>
      <c r="D125" s="1558"/>
      <c r="E125" s="495"/>
      <c r="F125" s="505" t="s">
        <v>1583</v>
      </c>
      <c r="G125" s="497"/>
      <c r="H125" s="498"/>
      <c r="I125" s="498"/>
      <c r="J125" s="920" t="s">
        <v>1768</v>
      </c>
      <c r="K125" s="468"/>
    </row>
    <row r="126" spans="1:31" ht="22.5" hidden="1" customHeight="1">
      <c r="A126" s="2158"/>
      <c r="D126" s="1563"/>
      <c r="E126" s="471" t="str">
        <f>FHD_NUM_P_80</f>
        <v/>
      </c>
      <c r="F126" s="626" t="str">
        <f>FHD_P_80</f>
        <v/>
      </c>
      <c r="G126" s="1571" t="s">
        <v>1769</v>
      </c>
      <c r="H126" s="482"/>
      <c r="I126" s="482"/>
      <c r="J126" s="204" t="str">
        <f>FHD_NOTE_P_80</f>
        <v/>
      </c>
      <c r="K126" s="468"/>
    </row>
    <row r="127" spans="1:31" ht="18.75" hidden="1" customHeight="1">
      <c r="A127" s="2158"/>
      <c r="D127" s="1563"/>
      <c r="E127" s="471" t="str">
        <f>FHD_NUM_P_81</f>
        <v/>
      </c>
      <c r="F127" s="626" t="str">
        <f>FHD_P_81</f>
        <v/>
      </c>
      <c r="G127" s="1571" t="s">
        <v>1770</v>
      </c>
      <c r="H127" s="482"/>
      <c r="I127" s="482"/>
      <c r="J127" s="204" t="str">
        <f>FHD_NOTE_P_81</f>
        <v/>
      </c>
      <c r="K127" s="468"/>
    </row>
    <row r="128" spans="1:31" ht="18.75" hidden="1" customHeight="1">
      <c r="A128" s="2158"/>
      <c r="C128" s="1561" t="s">
        <v>1757</v>
      </c>
      <c r="D128" s="1563"/>
      <c r="E128" s="471" t="str">
        <f>FHD_NUM_P_82</f>
        <v/>
      </c>
      <c r="F128" s="626" t="str">
        <f>FHD_P_82</f>
        <v/>
      </c>
      <c r="G128" s="1571" t="s">
        <v>288</v>
      </c>
      <c r="H128" s="331"/>
      <c r="I128" s="331"/>
      <c r="J128" s="204" t="str">
        <f>FHD_NOTE_P_82</f>
        <v/>
      </c>
      <c r="K128" s="468"/>
    </row>
    <row r="129" spans="1:31" ht="18.75" hidden="1" customHeight="1">
      <c r="A129" s="2158"/>
      <c r="C129" s="1561" t="s">
        <v>1757</v>
      </c>
      <c r="D129" s="1563"/>
      <c r="E129" s="471" t="str">
        <f>FHD_NUM_P_83</f>
        <v/>
      </c>
      <c r="F129" s="870" t="str">
        <f>FHD_P_83</f>
        <v/>
      </c>
      <c r="G129" s="1571" t="s">
        <v>288</v>
      </c>
      <c r="H129" s="331"/>
      <c r="I129" s="331"/>
      <c r="J129" s="204" t="str">
        <f>FHD_NOTE_P_83</f>
        <v/>
      </c>
      <c r="K129" s="468"/>
    </row>
    <row r="130" spans="1:31" ht="18.75" hidden="1" customHeight="1">
      <c r="A130" s="2158"/>
      <c r="C130" s="1561" t="s">
        <v>1757</v>
      </c>
      <c r="D130" s="1563"/>
      <c r="E130" s="471" t="str">
        <f>FHD_NUM_P_84</f>
        <v/>
      </c>
      <c r="F130" s="870" t="str">
        <f>FHD_P_84</f>
        <v/>
      </c>
      <c r="G130" s="1571" t="s">
        <v>288</v>
      </c>
      <c r="H130" s="331"/>
      <c r="I130" s="331"/>
      <c r="J130" s="204" t="str">
        <f>FHD_NOTE_P_84</f>
        <v/>
      </c>
      <c r="K130" s="468"/>
    </row>
    <row r="131" spans="1:31" ht="11.25" customHeight="1">
      <c r="D131" s="1563"/>
    </row>
    <row r="132" spans="1:31" ht="12.75" customHeight="1">
      <c r="D132" s="1563"/>
      <c r="E132" s="258"/>
      <c r="F132" s="293"/>
      <c r="G132" s="293"/>
      <c r="H132" s="293"/>
      <c r="I132" s="1572"/>
      <c r="J132" s="506"/>
    </row>
    <row r="133" spans="1:31" s="1566" customFormat="1" ht="11.25" customHeight="1">
      <c r="A133" s="903"/>
      <c r="B133" s="1561"/>
      <c r="C133" s="1561"/>
      <c r="D133" s="272"/>
      <c r="F133" s="1565"/>
      <c r="G133" s="1556"/>
      <c r="H133" s="1556"/>
      <c r="I133" s="1556"/>
      <c r="K133" s="1070"/>
      <c r="L133" s="1561"/>
      <c r="M133" s="1561"/>
      <c r="N133" s="1070"/>
      <c r="O133" s="1070"/>
      <c r="P133" s="1070"/>
      <c r="Q133" s="1070"/>
      <c r="R133" s="1561"/>
      <c r="S133" s="1070"/>
      <c r="T133" s="1070"/>
      <c r="U133" s="469"/>
      <c r="V133" s="1070"/>
      <c r="W133" s="1070"/>
      <c r="X133" s="1070"/>
      <c r="Y133" s="1070"/>
      <c r="Z133" s="1070"/>
      <c r="AA133" s="1557"/>
      <c r="AB133" s="491"/>
      <c r="AC133" s="491"/>
      <c r="AD133" s="491"/>
      <c r="AE133" s="491"/>
    </row>
    <row r="134" spans="1:31" s="1566" customFormat="1" ht="11.25" customHeight="1">
      <c r="A134" s="903"/>
      <c r="B134" s="1561"/>
      <c r="C134" s="1561"/>
      <c r="D134" s="272"/>
      <c r="K134" s="1070"/>
      <c r="L134" s="1561"/>
      <c r="M134" s="1561"/>
      <c r="N134" s="1070"/>
      <c r="O134" s="1070"/>
      <c r="P134" s="1070"/>
      <c r="Q134" s="1070"/>
      <c r="R134" s="1561"/>
      <c r="S134" s="1070"/>
      <c r="T134" s="1070"/>
      <c r="U134" s="469"/>
      <c r="V134" s="1070"/>
      <c r="W134" s="1070"/>
      <c r="X134" s="1070"/>
      <c r="Y134" s="1070"/>
      <c r="Z134" s="1070"/>
      <c r="AA134" s="1557"/>
      <c r="AB134" s="491"/>
      <c r="AC134" s="491"/>
      <c r="AD134" s="491"/>
      <c r="AE134" s="491"/>
    </row>
    <row r="135" spans="1:31" s="1566" customFormat="1" ht="11.25" customHeight="1">
      <c r="A135" s="903"/>
      <c r="B135" s="1561"/>
      <c r="C135" s="1561"/>
      <c r="D135" s="272"/>
      <c r="K135" s="1070"/>
      <c r="L135" s="1561"/>
      <c r="M135" s="1561"/>
      <c r="N135" s="1070"/>
      <c r="O135" s="1070"/>
      <c r="P135" s="1070"/>
      <c r="Q135" s="1070"/>
      <c r="R135" s="1561"/>
      <c r="S135" s="1070"/>
      <c r="T135" s="1070"/>
      <c r="U135" s="469"/>
      <c r="V135" s="1070"/>
      <c r="W135" s="1070"/>
      <c r="X135" s="1070"/>
      <c r="Y135" s="1070"/>
      <c r="Z135" s="1070"/>
      <c r="AA135" s="1557"/>
      <c r="AB135" s="491"/>
      <c r="AC135" s="491"/>
      <c r="AD135" s="491"/>
      <c r="AE135" s="491"/>
    </row>
    <row r="136" spans="1:31" s="1566" customFormat="1" ht="11.25" customHeight="1">
      <c r="A136" s="903"/>
      <c r="B136" s="1561"/>
      <c r="C136" s="1561"/>
      <c r="D136" s="272"/>
      <c r="H136" s="491" t="str">
        <f>IF(H30-H31&lt;&gt;H72,"WARNING","")</f>
        <v/>
      </c>
      <c r="I136" s="491" t="str">
        <f>IF(I30-I31&lt;&gt;I72,"WARNING","")</f>
        <v/>
      </c>
      <c r="K136" s="1070"/>
      <c r="L136" s="1561"/>
      <c r="M136" s="1561"/>
      <c r="N136" s="1070"/>
      <c r="O136" s="1070"/>
      <c r="P136" s="1070"/>
      <c r="Q136" s="1070"/>
      <c r="R136" s="1561"/>
      <c r="S136" s="1070"/>
      <c r="T136" s="1070"/>
      <c r="U136" s="469"/>
      <c r="V136" s="1070"/>
      <c r="W136" s="1070"/>
      <c r="X136" s="1070"/>
      <c r="Y136" s="1070"/>
      <c r="Z136" s="1070"/>
      <c r="AA136" s="1557"/>
      <c r="AB136" s="491"/>
      <c r="AC136" s="491"/>
      <c r="AD136" s="491"/>
      <c r="AE136" s="491"/>
    </row>
    <row r="137" spans="1:31" s="1566" customFormat="1" ht="11.25" customHeight="1">
      <c r="A137" s="903"/>
      <c r="B137" s="1561"/>
      <c r="C137" s="1561"/>
      <c r="D137" s="272"/>
      <c r="K137" s="1070"/>
      <c r="L137" s="1561"/>
      <c r="M137" s="1561"/>
      <c r="N137" s="1070"/>
      <c r="O137" s="1070"/>
      <c r="P137" s="1070"/>
      <c r="Q137" s="1070"/>
      <c r="R137" s="1561"/>
      <c r="S137" s="1070"/>
      <c r="T137" s="1070"/>
      <c r="U137" s="469"/>
      <c r="V137" s="1070"/>
      <c r="W137" s="1070"/>
      <c r="X137" s="1070"/>
      <c r="Y137" s="1070"/>
      <c r="Z137" s="1070"/>
      <c r="AA137" s="1557"/>
      <c r="AB137" s="491"/>
      <c r="AC137" s="491"/>
      <c r="AD137" s="491"/>
      <c r="AE137" s="491"/>
    </row>
    <row r="138" spans="1:31" s="1566" customFormat="1" ht="11.25" customHeight="1">
      <c r="A138" s="903"/>
      <c r="B138" s="1561"/>
      <c r="C138" s="1561"/>
      <c r="D138" s="272"/>
      <c r="K138" s="1070"/>
      <c r="L138" s="1561"/>
      <c r="M138" s="1561"/>
      <c r="N138" s="1070"/>
      <c r="O138" s="1070"/>
      <c r="P138" s="1070"/>
      <c r="Q138" s="1070"/>
      <c r="R138" s="1561"/>
      <c r="S138" s="1070"/>
      <c r="T138" s="1070"/>
      <c r="U138" s="469"/>
      <c r="V138" s="1070"/>
      <c r="W138" s="1070"/>
      <c r="X138" s="1070"/>
      <c r="Y138" s="1070"/>
      <c r="Z138" s="1070"/>
      <c r="AA138" s="1557"/>
      <c r="AB138" s="491"/>
      <c r="AC138" s="491"/>
      <c r="AD138" s="491"/>
      <c r="AE138" s="491"/>
    </row>
    <row r="139" spans="1:31" s="1566" customFormat="1" ht="11.25" customHeight="1">
      <c r="A139" s="903"/>
      <c r="B139" s="1561"/>
      <c r="C139" s="1561"/>
      <c r="D139" s="272"/>
      <c r="K139" s="1070"/>
      <c r="L139" s="1561"/>
      <c r="M139" s="1561"/>
      <c r="N139" s="1070"/>
      <c r="O139" s="1070"/>
      <c r="P139" s="1070"/>
      <c r="Q139" s="1070"/>
      <c r="R139" s="1561"/>
      <c r="S139" s="1070"/>
      <c r="T139" s="1070"/>
      <c r="U139" s="469"/>
      <c r="V139" s="1070"/>
      <c r="W139" s="1070"/>
      <c r="X139" s="1070"/>
      <c r="Y139" s="1070"/>
      <c r="Z139" s="1070"/>
      <c r="AA139" s="1557"/>
      <c r="AB139" s="491"/>
      <c r="AC139" s="491"/>
      <c r="AD139" s="491"/>
      <c r="AE139" s="491"/>
    </row>
    <row r="140" spans="1:31" s="1566" customFormat="1" ht="11.25" customHeight="1">
      <c r="A140" s="903"/>
      <c r="B140" s="1561"/>
      <c r="C140" s="1561"/>
      <c r="D140" s="272"/>
      <c r="K140" s="1070"/>
      <c r="L140" s="1561"/>
      <c r="M140" s="1561"/>
      <c r="N140" s="1070"/>
      <c r="O140" s="1070"/>
      <c r="P140" s="1070"/>
      <c r="Q140" s="1070"/>
      <c r="R140" s="1561"/>
      <c r="S140" s="1070"/>
      <c r="T140" s="1070"/>
      <c r="U140" s="469"/>
      <c r="V140" s="1070"/>
      <c r="W140" s="1070"/>
      <c r="X140" s="1070"/>
      <c r="Y140" s="1070"/>
      <c r="Z140" s="1070"/>
      <c r="AA140" s="1557"/>
      <c r="AB140" s="491"/>
      <c r="AC140" s="491"/>
      <c r="AD140" s="491"/>
      <c r="AE140" s="491"/>
    </row>
    <row r="141" spans="1:31" s="1566" customFormat="1" ht="11.25" customHeight="1">
      <c r="A141" s="903"/>
      <c r="B141" s="1561"/>
      <c r="C141" s="1561"/>
      <c r="D141" s="272"/>
      <c r="K141" s="1070"/>
      <c r="L141" s="1561"/>
      <c r="M141" s="1561"/>
      <c r="N141" s="1070"/>
      <c r="O141" s="1070"/>
      <c r="P141" s="1070"/>
      <c r="Q141" s="1070"/>
      <c r="R141" s="1561"/>
      <c r="S141" s="1070"/>
      <c r="T141" s="1070"/>
      <c r="U141" s="469"/>
      <c r="V141" s="1070"/>
      <c r="W141" s="1070"/>
      <c r="X141" s="1070"/>
      <c r="Y141" s="1070"/>
      <c r="Z141" s="1070"/>
      <c r="AA141" s="1557"/>
      <c r="AB141" s="491"/>
      <c r="AC141" s="491"/>
      <c r="AD141" s="491"/>
      <c r="AE141" s="491"/>
    </row>
    <row r="142" spans="1:31" s="1566" customFormat="1" ht="11.25" customHeight="1">
      <c r="A142" s="903"/>
      <c r="B142" s="1561"/>
      <c r="C142" s="1561"/>
      <c r="D142" s="272"/>
      <c r="K142" s="1070"/>
      <c r="L142" s="1561"/>
      <c r="M142" s="1561"/>
      <c r="N142" s="1070"/>
      <c r="O142" s="1070"/>
      <c r="P142" s="1070"/>
      <c r="Q142" s="1070"/>
      <c r="R142" s="1561"/>
      <c r="S142" s="1070"/>
      <c r="T142" s="1070"/>
      <c r="U142" s="469"/>
      <c r="V142" s="1070"/>
      <c r="W142" s="1070"/>
      <c r="X142" s="1070"/>
      <c r="Y142" s="1070"/>
      <c r="Z142" s="1070"/>
      <c r="AA142" s="1557"/>
      <c r="AB142" s="491"/>
      <c r="AC142" s="491"/>
      <c r="AD142" s="491"/>
      <c r="AE142" s="491"/>
    </row>
    <row r="143" spans="1:31" s="1566" customFormat="1" ht="11.25" customHeight="1">
      <c r="A143" s="903"/>
      <c r="B143" s="1561"/>
      <c r="C143" s="1561"/>
      <c r="D143" s="272"/>
      <c r="K143" s="1070"/>
      <c r="L143" s="1561"/>
      <c r="M143" s="1561"/>
      <c r="N143" s="1070"/>
      <c r="O143" s="1070"/>
      <c r="P143" s="1070"/>
      <c r="Q143" s="1070"/>
      <c r="R143" s="1561"/>
      <c r="S143" s="1070"/>
      <c r="T143" s="1070"/>
      <c r="U143" s="469"/>
      <c r="V143" s="1070"/>
      <c r="W143" s="1070"/>
      <c r="X143" s="1070"/>
      <c r="Y143" s="1070"/>
      <c r="Z143" s="1070"/>
      <c r="AA143" s="1557"/>
      <c r="AB143" s="491"/>
      <c r="AC143" s="491"/>
      <c r="AD143" s="491"/>
      <c r="AE143" s="491"/>
    </row>
    <row r="144" spans="1:31" s="1566" customFormat="1" ht="11.25" customHeight="1">
      <c r="A144" s="903"/>
      <c r="B144" s="1561"/>
      <c r="C144" s="1561"/>
      <c r="D144" s="272"/>
      <c r="K144" s="1070"/>
      <c r="L144" s="1561"/>
      <c r="M144" s="1561"/>
      <c r="N144" s="1070"/>
      <c r="O144" s="1070"/>
      <c r="P144" s="1070"/>
      <c r="Q144" s="1070"/>
      <c r="R144" s="1561"/>
      <c r="S144" s="1070"/>
      <c r="T144" s="1070"/>
      <c r="U144" s="469"/>
      <c r="V144" s="1070"/>
      <c r="W144" s="1070"/>
      <c r="X144" s="1070"/>
      <c r="Y144" s="1070"/>
      <c r="Z144" s="1070"/>
      <c r="AA144" s="1557"/>
      <c r="AB144" s="491"/>
      <c r="AC144" s="491"/>
      <c r="AD144" s="491"/>
      <c r="AE144" s="491"/>
    </row>
    <row r="145" spans="1:31" s="1566" customFormat="1" ht="11.25" customHeight="1">
      <c r="A145" s="903"/>
      <c r="B145" s="1561"/>
      <c r="C145" s="1561"/>
      <c r="D145" s="272"/>
      <c r="K145" s="1070"/>
      <c r="L145" s="1561"/>
      <c r="M145" s="1561"/>
      <c r="N145" s="1070"/>
      <c r="O145" s="1070"/>
      <c r="P145" s="1070"/>
      <c r="Q145" s="1070"/>
      <c r="R145" s="1561"/>
      <c r="S145" s="1070"/>
      <c r="T145" s="1070"/>
      <c r="U145" s="469"/>
      <c r="V145" s="1070"/>
      <c r="W145" s="1070"/>
      <c r="X145" s="1070"/>
      <c r="Y145" s="1070"/>
      <c r="Z145" s="1070"/>
      <c r="AA145" s="1557"/>
      <c r="AB145" s="491"/>
      <c r="AC145" s="491"/>
      <c r="AD145" s="491"/>
      <c r="AE145" s="491"/>
    </row>
    <row r="146" spans="1:31" s="1566" customFormat="1" ht="11.25" customHeight="1">
      <c r="A146" s="903"/>
      <c r="B146" s="1561"/>
      <c r="C146" s="1561"/>
      <c r="D146" s="272"/>
      <c r="K146" s="1070"/>
      <c r="L146" s="1561"/>
      <c r="M146" s="1561"/>
      <c r="N146" s="1070"/>
      <c r="O146" s="1070"/>
      <c r="P146" s="1070"/>
      <c r="Q146" s="1070"/>
      <c r="R146" s="1561"/>
      <c r="S146" s="1070"/>
      <c r="T146" s="1070"/>
      <c r="U146" s="469"/>
      <c r="V146" s="1070"/>
      <c r="W146" s="1070"/>
      <c r="X146" s="1070"/>
      <c r="Y146" s="1070"/>
      <c r="Z146" s="1070"/>
      <c r="AA146" s="1557"/>
      <c r="AB146" s="491"/>
      <c r="AC146" s="491"/>
      <c r="AD146" s="491"/>
      <c r="AE146" s="491"/>
    </row>
    <row r="147" spans="1:31" s="1566" customFormat="1" ht="11.25" customHeight="1">
      <c r="A147" s="903"/>
      <c r="B147" s="1561"/>
      <c r="C147" s="1561"/>
      <c r="D147" s="272"/>
      <c r="K147" s="1070"/>
      <c r="L147" s="1561"/>
      <c r="M147" s="1561"/>
      <c r="N147" s="1070"/>
      <c r="O147" s="1070"/>
      <c r="P147" s="1070"/>
      <c r="Q147" s="1070"/>
      <c r="R147" s="1561"/>
      <c r="S147" s="1070"/>
      <c r="T147" s="1070"/>
      <c r="U147" s="469"/>
      <c r="V147" s="1070"/>
      <c r="W147" s="1070"/>
      <c r="X147" s="1070"/>
      <c r="Y147" s="1070"/>
      <c r="Z147" s="1070"/>
      <c r="AA147" s="1557"/>
      <c r="AB147" s="491"/>
      <c r="AC147" s="491"/>
      <c r="AD147" s="491"/>
      <c r="AE147" s="491"/>
    </row>
    <row r="148" spans="1:31" s="1566" customFormat="1" ht="11.25" customHeight="1">
      <c r="A148" s="903"/>
      <c r="B148" s="1561"/>
      <c r="C148" s="1561"/>
      <c r="D148" s="272"/>
      <c r="K148" s="1070"/>
      <c r="L148" s="1561"/>
      <c r="M148" s="1561"/>
      <c r="N148" s="1070"/>
      <c r="O148" s="1070"/>
      <c r="P148" s="1070"/>
      <c r="Q148" s="1070"/>
      <c r="R148" s="1561"/>
      <c r="S148" s="1070"/>
      <c r="T148" s="1070"/>
      <c r="U148" s="469"/>
      <c r="V148" s="1070"/>
      <c r="W148" s="1070"/>
      <c r="X148" s="1070"/>
      <c r="Y148" s="1070"/>
      <c r="Z148" s="1070"/>
      <c r="AA148" s="1557"/>
      <c r="AB148" s="491"/>
      <c r="AC148" s="491"/>
      <c r="AD148" s="491"/>
      <c r="AE148" s="491"/>
    </row>
    <row r="149" spans="1:31" s="1566" customFormat="1" ht="11.25" customHeight="1">
      <c r="A149" s="903"/>
      <c r="B149" s="1561"/>
      <c r="C149" s="1561"/>
      <c r="D149" s="272"/>
      <c r="K149" s="1070"/>
      <c r="L149" s="1561"/>
      <c r="M149" s="1561"/>
      <c r="N149" s="1070"/>
      <c r="O149" s="1070"/>
      <c r="P149" s="1070"/>
      <c r="Q149" s="1070"/>
      <c r="R149" s="1561"/>
      <c r="S149" s="1070"/>
      <c r="T149" s="1070"/>
      <c r="U149" s="469"/>
      <c r="V149" s="1070"/>
      <c r="W149" s="1070"/>
      <c r="X149" s="1070"/>
      <c r="Y149" s="1070"/>
      <c r="Z149" s="1070"/>
      <c r="AA149" s="1557"/>
      <c r="AB149" s="491"/>
      <c r="AC149" s="491"/>
      <c r="AD149" s="491"/>
      <c r="AE149" s="491"/>
    </row>
    <row r="150" spans="1:31" s="1566" customFormat="1" ht="11.25" customHeight="1">
      <c r="A150" s="903"/>
      <c r="B150" s="1561"/>
      <c r="C150" s="1561"/>
      <c r="D150" s="272"/>
      <c r="K150" s="1070"/>
      <c r="L150" s="1561"/>
      <c r="M150" s="1561"/>
      <c r="N150" s="1070"/>
      <c r="O150" s="1070"/>
      <c r="P150" s="1070"/>
      <c r="Q150" s="1070"/>
      <c r="R150" s="1561"/>
      <c r="S150" s="1070"/>
      <c r="T150" s="1070"/>
      <c r="U150" s="469"/>
      <c r="V150" s="1070"/>
      <c r="W150" s="1070"/>
      <c r="X150" s="1070"/>
      <c r="Y150" s="1070"/>
      <c r="Z150" s="1070"/>
      <c r="AA150" s="1557"/>
      <c r="AB150" s="491"/>
      <c r="AC150" s="491"/>
      <c r="AD150" s="491"/>
      <c r="AE150" s="491"/>
    </row>
    <row r="151" spans="1:31" s="1566" customFormat="1" ht="11.25" customHeight="1">
      <c r="A151" s="903"/>
      <c r="B151" s="1561"/>
      <c r="C151" s="1561"/>
      <c r="D151" s="272"/>
      <c r="K151" s="1070"/>
      <c r="L151" s="1561"/>
      <c r="M151" s="1561"/>
      <c r="N151" s="1070"/>
      <c r="O151" s="1070"/>
      <c r="P151" s="1070"/>
      <c r="Q151" s="1070"/>
      <c r="R151" s="1561"/>
      <c r="S151" s="1070"/>
      <c r="T151" s="1070"/>
      <c r="U151" s="469"/>
      <c r="V151" s="1070"/>
      <c r="W151" s="1070"/>
      <c r="X151" s="1070"/>
      <c r="Y151" s="1070"/>
      <c r="Z151" s="1070"/>
      <c r="AA151" s="1557"/>
      <c r="AB151" s="491"/>
      <c r="AC151" s="491"/>
      <c r="AD151" s="491"/>
      <c r="AE151" s="491"/>
    </row>
    <row r="152" spans="1:31" s="1566" customFormat="1" ht="11.25" customHeight="1">
      <c r="A152" s="903"/>
      <c r="B152" s="1561"/>
      <c r="C152" s="1561"/>
      <c r="D152" s="272"/>
      <c r="K152" s="1070"/>
      <c r="L152" s="1561"/>
      <c r="M152" s="1561"/>
      <c r="N152" s="1070"/>
      <c r="O152" s="1070"/>
      <c r="P152" s="1070"/>
      <c r="Q152" s="1070"/>
      <c r="R152" s="1561"/>
      <c r="S152" s="1070"/>
      <c r="T152" s="1070"/>
      <c r="U152" s="469"/>
      <c r="V152" s="1070"/>
      <c r="W152" s="1070"/>
      <c r="X152" s="1070"/>
      <c r="Y152" s="1070"/>
      <c r="Z152" s="1070"/>
      <c r="AA152" s="1557"/>
      <c r="AB152" s="491"/>
      <c r="AC152" s="491"/>
      <c r="AD152" s="491"/>
      <c r="AE152" s="491"/>
    </row>
    <row r="153" spans="1:31" s="1566" customFormat="1" ht="11.25" customHeight="1">
      <c r="A153" s="903"/>
      <c r="B153" s="1561"/>
      <c r="C153" s="1561"/>
      <c r="D153" s="272"/>
      <c r="K153" s="1070"/>
      <c r="L153" s="1561"/>
      <c r="M153" s="1561"/>
      <c r="N153" s="1070"/>
      <c r="O153" s="1070"/>
      <c r="P153" s="1070"/>
      <c r="Q153" s="1070"/>
      <c r="R153" s="1561"/>
      <c r="S153" s="1070"/>
      <c r="T153" s="1070"/>
      <c r="U153" s="469"/>
      <c r="V153" s="1070"/>
      <c r="W153" s="1070"/>
      <c r="X153" s="1070"/>
      <c r="Y153" s="1070"/>
      <c r="Z153" s="1070"/>
      <c r="AA153" s="1557"/>
      <c r="AB153" s="491"/>
      <c r="AC153" s="491"/>
      <c r="AD153" s="491"/>
      <c r="AE153" s="491"/>
    </row>
    <row r="154" spans="1:31" s="1566" customFormat="1" ht="11.25" customHeight="1">
      <c r="A154" s="903"/>
      <c r="B154" s="1561"/>
      <c r="C154" s="1561"/>
      <c r="D154" s="272"/>
      <c r="K154" s="1070"/>
      <c r="L154" s="1561"/>
      <c r="M154" s="1561"/>
      <c r="N154" s="1070"/>
      <c r="O154" s="1070"/>
      <c r="P154" s="1070"/>
      <c r="Q154" s="1070"/>
      <c r="R154" s="1561"/>
      <c r="S154" s="1070"/>
      <c r="T154" s="1070"/>
      <c r="U154" s="469"/>
      <c r="V154" s="1070"/>
      <c r="W154" s="1070"/>
      <c r="X154" s="1070"/>
      <c r="Y154" s="1070"/>
      <c r="Z154" s="1070"/>
      <c r="AA154" s="1557"/>
      <c r="AB154" s="491"/>
      <c r="AC154" s="491"/>
      <c r="AD154" s="491"/>
      <c r="AE154" s="491"/>
    </row>
    <row r="155" spans="1:31" s="1566" customFormat="1" ht="11.25" customHeight="1">
      <c r="A155" s="903"/>
      <c r="B155" s="1561"/>
      <c r="C155" s="1561"/>
      <c r="D155" s="272"/>
      <c r="K155" s="1070"/>
      <c r="L155" s="1561"/>
      <c r="M155" s="1561"/>
      <c r="N155" s="1070"/>
      <c r="O155" s="1070"/>
      <c r="P155" s="1070"/>
      <c r="Q155" s="1070"/>
      <c r="R155" s="1561"/>
      <c r="S155" s="1070"/>
      <c r="T155" s="1070"/>
      <c r="U155" s="469"/>
      <c r="V155" s="1070"/>
      <c r="W155" s="1070"/>
      <c r="X155" s="1070"/>
      <c r="Y155" s="1070"/>
      <c r="Z155" s="1070"/>
      <c r="AA155" s="1557"/>
      <c r="AB155" s="491"/>
      <c r="AC155" s="491"/>
      <c r="AD155" s="491"/>
      <c r="AE155" s="491"/>
    </row>
    <row r="156" spans="1:31" s="1566" customFormat="1" ht="11.25" customHeight="1">
      <c r="A156" s="903"/>
      <c r="B156" s="1561"/>
      <c r="C156" s="1561"/>
      <c r="D156" s="272"/>
      <c r="K156" s="1070"/>
      <c r="L156" s="1561"/>
      <c r="M156" s="1561"/>
      <c r="N156" s="1070"/>
      <c r="O156" s="1070"/>
      <c r="P156" s="1070"/>
      <c r="Q156" s="1070"/>
      <c r="R156" s="1561"/>
      <c r="S156" s="1070"/>
      <c r="T156" s="1070"/>
      <c r="U156" s="469"/>
      <c r="V156" s="1070"/>
      <c r="W156" s="1070"/>
      <c r="X156" s="1070"/>
      <c r="Y156" s="1070"/>
      <c r="Z156" s="1070"/>
      <c r="AA156" s="1557"/>
      <c r="AB156" s="491"/>
      <c r="AC156" s="491"/>
      <c r="AD156" s="491"/>
      <c r="AE156" s="491"/>
    </row>
    <row r="157" spans="1:31" s="1566" customFormat="1" ht="11.25" customHeight="1">
      <c r="A157" s="903"/>
      <c r="B157" s="1561"/>
      <c r="C157" s="1561"/>
      <c r="D157" s="272"/>
      <c r="K157" s="1070"/>
      <c r="L157" s="1561"/>
      <c r="M157" s="1561"/>
      <c r="N157" s="1070"/>
      <c r="O157" s="1070"/>
      <c r="P157" s="1070"/>
      <c r="Q157" s="1070"/>
      <c r="R157" s="1561"/>
      <c r="S157" s="1070"/>
      <c r="T157" s="1070"/>
      <c r="U157" s="469"/>
      <c r="V157" s="1070"/>
      <c r="W157" s="1070"/>
      <c r="X157" s="1070"/>
      <c r="Y157" s="1070"/>
      <c r="Z157" s="1070"/>
      <c r="AA157" s="1557"/>
      <c r="AB157" s="491"/>
      <c r="AC157" s="491"/>
      <c r="AD157" s="491"/>
      <c r="AE157" s="491"/>
    </row>
    <row r="158" spans="1:31" s="1566" customFormat="1" ht="11.25" customHeight="1">
      <c r="A158" s="903"/>
      <c r="B158" s="1561"/>
      <c r="C158" s="1561"/>
      <c r="D158" s="272"/>
      <c r="K158" s="1070"/>
      <c r="L158" s="1561"/>
      <c r="M158" s="1561"/>
      <c r="N158" s="1070"/>
      <c r="O158" s="1070"/>
      <c r="P158" s="1070"/>
      <c r="Q158" s="1070"/>
      <c r="R158" s="1561"/>
      <c r="S158" s="1070"/>
      <c r="T158" s="1070"/>
      <c r="U158" s="469"/>
      <c r="V158" s="1070"/>
      <c r="W158" s="1070"/>
      <c r="X158" s="1070"/>
      <c r="Y158" s="1070"/>
      <c r="Z158" s="1070"/>
      <c r="AA158" s="1557"/>
      <c r="AB158" s="491"/>
      <c r="AC158" s="491"/>
      <c r="AD158" s="491"/>
      <c r="AE158" s="491"/>
    </row>
    <row r="159" spans="1:31" s="1566" customFormat="1" ht="11.25" customHeight="1">
      <c r="A159" s="903"/>
      <c r="B159" s="1561"/>
      <c r="C159" s="1561"/>
      <c r="D159" s="272"/>
      <c r="K159" s="1070"/>
      <c r="L159" s="1561"/>
      <c r="M159" s="1561"/>
      <c r="N159" s="1070"/>
      <c r="O159" s="1070"/>
      <c r="P159" s="1070"/>
      <c r="Q159" s="1070"/>
      <c r="R159" s="1561"/>
      <c r="S159" s="1070"/>
      <c r="T159" s="1070"/>
      <c r="U159" s="469"/>
      <c r="V159" s="1070"/>
      <c r="W159" s="1070"/>
      <c r="X159" s="1070"/>
      <c r="Y159" s="1070"/>
      <c r="Z159" s="1070"/>
      <c r="AA159" s="1557"/>
      <c r="AB159" s="491"/>
      <c r="AC159" s="491"/>
      <c r="AD159" s="491"/>
      <c r="AE159" s="491"/>
    </row>
    <row r="160" spans="1:31" s="1566" customFormat="1" ht="11.25" customHeight="1">
      <c r="A160" s="903"/>
      <c r="B160" s="1561"/>
      <c r="C160" s="1561"/>
      <c r="D160" s="272"/>
      <c r="K160" s="1070"/>
      <c r="L160" s="1561"/>
      <c r="M160" s="1561"/>
      <c r="N160" s="1070"/>
      <c r="O160" s="1070"/>
      <c r="P160" s="1070"/>
      <c r="Q160" s="1070"/>
      <c r="R160" s="1561"/>
      <c r="S160" s="1070"/>
      <c r="T160" s="1070"/>
      <c r="U160" s="469"/>
      <c r="V160" s="1070"/>
      <c r="W160" s="1070"/>
      <c r="X160" s="1070"/>
      <c r="Y160" s="1070"/>
      <c r="Z160" s="1070"/>
      <c r="AA160" s="1557"/>
      <c r="AB160" s="491"/>
      <c r="AC160" s="491"/>
      <c r="AD160" s="491"/>
      <c r="AE160" s="491"/>
    </row>
    <row r="161" spans="1:31" s="1566" customFormat="1" ht="11.25" customHeight="1">
      <c r="A161" s="903"/>
      <c r="B161" s="1561"/>
      <c r="C161" s="1561"/>
      <c r="D161" s="272"/>
      <c r="K161" s="1070"/>
      <c r="L161" s="1561"/>
      <c r="M161" s="1561"/>
      <c r="N161" s="1070"/>
      <c r="O161" s="1070"/>
      <c r="P161" s="1070"/>
      <c r="Q161" s="1070"/>
      <c r="R161" s="1561"/>
      <c r="S161" s="1070"/>
      <c r="T161" s="1070"/>
      <c r="U161" s="469"/>
      <c r="V161" s="1070"/>
      <c r="W161" s="1070"/>
      <c r="X161" s="1070"/>
      <c r="Y161" s="1070"/>
      <c r="Z161" s="1070"/>
      <c r="AA161" s="1557"/>
      <c r="AB161" s="491"/>
      <c r="AC161" s="491"/>
      <c r="AD161" s="491"/>
      <c r="AE161" s="491"/>
    </row>
    <row r="162" spans="1:31" s="1566" customFormat="1" ht="11.25" customHeight="1">
      <c r="A162" s="903"/>
      <c r="B162" s="1561"/>
      <c r="C162" s="1561"/>
      <c r="D162" s="272"/>
      <c r="K162" s="1070"/>
      <c r="L162" s="1561"/>
      <c r="M162" s="1561"/>
      <c r="N162" s="1070"/>
      <c r="O162" s="1070"/>
      <c r="P162" s="1070"/>
      <c r="Q162" s="1070"/>
      <c r="R162" s="1561"/>
      <c r="S162" s="1070"/>
      <c r="T162" s="1070"/>
      <c r="U162" s="469"/>
      <c r="V162" s="1070"/>
      <c r="W162" s="1070"/>
      <c r="X162" s="1070"/>
      <c r="Y162" s="1070"/>
      <c r="Z162" s="1070"/>
      <c r="AA162" s="1557"/>
      <c r="AB162" s="491"/>
      <c r="AC162" s="491"/>
      <c r="AD162" s="491"/>
      <c r="AE162" s="491"/>
    </row>
    <row r="163" spans="1:31" s="1566" customFormat="1" ht="11.25" customHeight="1">
      <c r="A163" s="903"/>
      <c r="B163" s="1561"/>
      <c r="C163" s="1561"/>
      <c r="D163" s="272"/>
      <c r="K163" s="1070"/>
      <c r="L163" s="1561"/>
      <c r="M163" s="1561"/>
      <c r="N163" s="1070"/>
      <c r="O163" s="1070"/>
      <c r="P163" s="1070"/>
      <c r="Q163" s="1070"/>
      <c r="R163" s="1561"/>
      <c r="S163" s="1070"/>
      <c r="T163" s="1070"/>
      <c r="U163" s="469"/>
      <c r="V163" s="1070"/>
      <c r="W163" s="1070"/>
      <c r="X163" s="1070"/>
      <c r="Y163" s="1070"/>
      <c r="Z163" s="1070"/>
      <c r="AA163" s="1557"/>
      <c r="AB163" s="491"/>
      <c r="AC163" s="491"/>
      <c r="AD163" s="491"/>
      <c r="AE163" s="491"/>
    </row>
    <row r="164" spans="1:31" s="1566" customFormat="1" ht="11.25" customHeight="1">
      <c r="A164" s="903"/>
      <c r="B164" s="1561"/>
      <c r="C164" s="1561"/>
      <c r="D164" s="272"/>
      <c r="K164" s="1070"/>
      <c r="L164" s="1561"/>
      <c r="M164" s="1561"/>
      <c r="N164" s="1070"/>
      <c r="O164" s="1070"/>
      <c r="P164" s="1070"/>
      <c r="Q164" s="1070"/>
      <c r="R164" s="1561"/>
      <c r="S164" s="1070"/>
      <c r="T164" s="1070"/>
      <c r="U164" s="469"/>
      <c r="V164" s="1070"/>
      <c r="W164" s="1070"/>
      <c r="X164" s="1070"/>
      <c r="Y164" s="1070"/>
      <c r="Z164" s="1070"/>
      <c r="AA164" s="1557"/>
      <c r="AB164" s="491"/>
      <c r="AC164" s="491"/>
      <c r="AD164" s="491"/>
      <c r="AE164" s="491"/>
    </row>
    <row r="165" spans="1:31" s="1566" customFormat="1" ht="11.25" customHeight="1">
      <c r="A165" s="903"/>
      <c r="B165" s="1561"/>
      <c r="C165" s="1561"/>
      <c r="D165" s="272"/>
      <c r="K165" s="1070"/>
      <c r="L165" s="1561"/>
      <c r="M165" s="1561"/>
      <c r="N165" s="1070"/>
      <c r="O165" s="1070"/>
      <c r="P165" s="1070"/>
      <c r="Q165" s="1070"/>
      <c r="R165" s="1561"/>
      <c r="S165" s="1070"/>
      <c r="T165" s="1070"/>
      <c r="U165" s="469"/>
      <c r="V165" s="1070"/>
      <c r="W165" s="1070"/>
      <c r="X165" s="1070"/>
      <c r="Y165" s="1070"/>
      <c r="Z165" s="1070"/>
      <c r="AA165" s="1557"/>
      <c r="AB165" s="491"/>
      <c r="AC165" s="491"/>
      <c r="AD165" s="491"/>
      <c r="AE165" s="491"/>
    </row>
    <row r="166" spans="1:31" s="1566" customFormat="1" ht="11.25" customHeight="1">
      <c r="A166" s="903"/>
      <c r="B166" s="1561"/>
      <c r="C166" s="1561"/>
      <c r="D166" s="272"/>
      <c r="K166" s="1070"/>
      <c r="L166" s="1561"/>
      <c r="M166" s="1561"/>
      <c r="N166" s="1070"/>
      <c r="O166" s="1070"/>
      <c r="P166" s="1070"/>
      <c r="Q166" s="1070"/>
      <c r="R166" s="1561"/>
      <c r="S166" s="1070"/>
      <c r="T166" s="1070"/>
      <c r="U166" s="469"/>
      <c r="V166" s="1070"/>
      <c r="W166" s="1070"/>
      <c r="X166" s="1070"/>
      <c r="Y166" s="1070"/>
      <c r="Z166" s="1070"/>
      <c r="AA166" s="1557"/>
      <c r="AB166" s="491"/>
      <c r="AC166" s="491"/>
      <c r="AD166" s="491"/>
      <c r="AE166" s="491"/>
    </row>
    <row r="167" spans="1:31" s="1566" customFormat="1" ht="11.25" customHeight="1">
      <c r="A167" s="903"/>
      <c r="B167" s="1561"/>
      <c r="C167" s="1561"/>
      <c r="D167" s="272"/>
      <c r="K167" s="1070"/>
      <c r="L167" s="1561"/>
      <c r="M167" s="1561"/>
      <c r="N167" s="1070"/>
      <c r="O167" s="1070"/>
      <c r="P167" s="1070"/>
      <c r="Q167" s="1070"/>
      <c r="R167" s="1561"/>
      <c r="S167" s="1070"/>
      <c r="T167" s="1070"/>
      <c r="U167" s="469"/>
      <c r="V167" s="1070"/>
      <c r="W167" s="1070"/>
      <c r="X167" s="1070"/>
      <c r="Y167" s="1070"/>
      <c r="Z167" s="1070"/>
      <c r="AA167" s="1557"/>
      <c r="AB167" s="491"/>
      <c r="AC167" s="491"/>
      <c r="AD167" s="491"/>
      <c r="AE167" s="491"/>
    </row>
    <row r="168" spans="1:31" s="1566" customFormat="1" ht="11.25" customHeight="1">
      <c r="A168" s="903"/>
      <c r="B168" s="1561"/>
      <c r="C168" s="1561"/>
      <c r="D168" s="272"/>
      <c r="K168" s="1070"/>
      <c r="L168" s="1561"/>
      <c r="M168" s="1561"/>
      <c r="N168" s="1070"/>
      <c r="O168" s="1070"/>
      <c r="P168" s="1070"/>
      <c r="Q168" s="1070"/>
      <c r="R168" s="1561"/>
      <c r="S168" s="1070"/>
      <c r="T168" s="1070"/>
      <c r="U168" s="469"/>
      <c r="V168" s="1070"/>
      <c r="W168" s="1070"/>
      <c r="X168" s="1070"/>
      <c r="Y168" s="1070"/>
      <c r="Z168" s="1070"/>
      <c r="AA168" s="1557"/>
      <c r="AB168" s="491"/>
      <c r="AC168" s="491"/>
      <c r="AD168" s="491"/>
      <c r="AE168" s="491"/>
    </row>
    <row r="169" spans="1:31" s="1566" customFormat="1" ht="11.25" customHeight="1">
      <c r="A169" s="903"/>
      <c r="B169" s="1561"/>
      <c r="C169" s="1561"/>
      <c r="D169" s="272"/>
      <c r="K169" s="1070"/>
      <c r="L169" s="1561"/>
      <c r="M169" s="1561"/>
      <c r="N169" s="1070"/>
      <c r="O169" s="1070"/>
      <c r="P169" s="1070"/>
      <c r="Q169" s="1070"/>
      <c r="R169" s="1561"/>
      <c r="S169" s="1070"/>
      <c r="T169" s="1070"/>
      <c r="U169" s="469"/>
      <c r="V169" s="1070"/>
      <c r="W169" s="1070"/>
      <c r="X169" s="1070"/>
      <c r="Y169" s="1070"/>
      <c r="Z169" s="1070"/>
      <c r="AA169" s="1557"/>
      <c r="AB169" s="491"/>
      <c r="AC169" s="491"/>
      <c r="AD169" s="491"/>
      <c r="AE169" s="491"/>
    </row>
    <row r="170" spans="1:31" s="1566" customFormat="1" ht="11.25" customHeight="1">
      <c r="A170" s="903"/>
      <c r="B170" s="1561"/>
      <c r="C170" s="1561"/>
      <c r="D170" s="272"/>
      <c r="K170" s="1070"/>
      <c r="L170" s="1561"/>
      <c r="M170" s="1561"/>
      <c r="N170" s="1070"/>
      <c r="O170" s="1070"/>
      <c r="P170" s="1070"/>
      <c r="Q170" s="1070"/>
      <c r="R170" s="1561"/>
      <c r="S170" s="1070"/>
      <c r="T170" s="1070"/>
      <c r="U170" s="469"/>
      <c r="V170" s="1070"/>
      <c r="W170" s="1070"/>
      <c r="X170" s="1070"/>
      <c r="Y170" s="1070"/>
      <c r="Z170" s="1070"/>
      <c r="AA170" s="1557"/>
      <c r="AB170" s="491"/>
      <c r="AC170" s="491"/>
      <c r="AD170" s="491"/>
      <c r="AE170" s="491"/>
    </row>
    <row r="171" spans="1:31" s="1566" customFormat="1" ht="11.25" customHeight="1">
      <c r="A171" s="903"/>
      <c r="B171" s="1561"/>
      <c r="C171" s="1561"/>
      <c r="D171" s="272"/>
      <c r="K171" s="1070"/>
      <c r="L171" s="1561"/>
      <c r="M171" s="1561"/>
      <c r="N171" s="1070"/>
      <c r="O171" s="1070"/>
      <c r="P171" s="1070"/>
      <c r="Q171" s="1070"/>
      <c r="R171" s="1561"/>
      <c r="S171" s="1070"/>
      <c r="T171" s="1070"/>
      <c r="U171" s="469"/>
      <c r="V171" s="1070"/>
      <c r="W171" s="1070"/>
      <c r="X171" s="1070"/>
      <c r="Y171" s="1070"/>
      <c r="Z171" s="1070"/>
      <c r="AA171" s="1557"/>
      <c r="AB171" s="491"/>
      <c r="AC171" s="491"/>
      <c r="AD171" s="491"/>
      <c r="AE171" s="491"/>
    </row>
    <row r="172" spans="1:31" s="1566" customFormat="1" ht="11.25" customHeight="1">
      <c r="A172" s="903"/>
      <c r="B172" s="1561"/>
      <c r="C172" s="1561"/>
      <c r="D172" s="272"/>
      <c r="K172" s="1070"/>
      <c r="L172" s="1561"/>
      <c r="M172" s="1561"/>
      <c r="N172" s="1070"/>
      <c r="O172" s="1070"/>
      <c r="P172" s="1070"/>
      <c r="Q172" s="1070"/>
      <c r="R172" s="1561"/>
      <c r="S172" s="1070"/>
      <c r="T172" s="1070"/>
      <c r="U172" s="469"/>
      <c r="V172" s="1070"/>
      <c r="W172" s="1070"/>
      <c r="X172" s="1070"/>
      <c r="Y172" s="1070"/>
      <c r="Z172" s="1070"/>
      <c r="AA172" s="1557"/>
      <c r="AB172" s="491"/>
      <c r="AC172" s="491"/>
      <c r="AD172" s="491"/>
      <c r="AE172" s="491"/>
    </row>
    <row r="173" spans="1:31" s="1566" customFormat="1" ht="11.25" customHeight="1">
      <c r="A173" s="903"/>
      <c r="B173" s="1561"/>
      <c r="C173" s="1561"/>
      <c r="D173" s="272"/>
      <c r="K173" s="1070"/>
      <c r="L173" s="1561"/>
      <c r="M173" s="1561"/>
      <c r="N173" s="1070"/>
      <c r="O173" s="1070"/>
      <c r="P173" s="1070"/>
      <c r="Q173" s="1070"/>
      <c r="R173" s="1561"/>
      <c r="S173" s="1070"/>
      <c r="T173" s="1070"/>
      <c r="U173" s="469"/>
      <c r="V173" s="1070"/>
      <c r="W173" s="1070"/>
      <c r="X173" s="1070"/>
      <c r="Y173" s="1070"/>
      <c r="Z173" s="1070"/>
      <c r="AA173" s="1557"/>
      <c r="AB173" s="491"/>
      <c r="AC173" s="491"/>
      <c r="AD173" s="491"/>
      <c r="AE173" s="491"/>
    </row>
    <row r="174" spans="1:31" s="1566" customFormat="1" ht="11.25" customHeight="1">
      <c r="A174" s="903"/>
      <c r="B174" s="1561"/>
      <c r="C174" s="1561"/>
      <c r="D174" s="272"/>
      <c r="K174" s="1070"/>
      <c r="L174" s="1561"/>
      <c r="M174" s="1561"/>
      <c r="N174" s="1070"/>
      <c r="O174" s="1070"/>
      <c r="P174" s="1070"/>
      <c r="Q174" s="1070"/>
      <c r="R174" s="1561"/>
      <c r="S174" s="1070"/>
      <c r="T174" s="1070"/>
      <c r="U174" s="469"/>
      <c r="V174" s="1070"/>
      <c r="W174" s="1070"/>
      <c r="X174" s="1070"/>
      <c r="Y174" s="1070"/>
      <c r="Z174" s="1070"/>
      <c r="AA174" s="1557"/>
      <c r="AB174" s="491"/>
      <c r="AC174" s="491"/>
      <c r="AD174" s="491"/>
      <c r="AE174" s="491"/>
    </row>
    <row r="175" spans="1:31" s="1566" customFormat="1" ht="11.25" customHeight="1">
      <c r="A175" s="903"/>
      <c r="B175" s="1561"/>
      <c r="C175" s="1561"/>
      <c r="D175" s="272"/>
      <c r="K175" s="1070"/>
      <c r="L175" s="1561"/>
      <c r="M175" s="1561"/>
      <c r="N175" s="1070"/>
      <c r="O175" s="1070"/>
      <c r="P175" s="1070"/>
      <c r="Q175" s="1070"/>
      <c r="R175" s="1561"/>
      <c r="S175" s="1070"/>
      <c r="T175" s="1070"/>
      <c r="U175" s="469"/>
      <c r="V175" s="1070"/>
      <c r="W175" s="1070"/>
      <c r="X175" s="1070"/>
      <c r="Y175" s="1070"/>
      <c r="Z175" s="1070"/>
      <c r="AA175" s="1557"/>
      <c r="AB175" s="491"/>
      <c r="AC175" s="491"/>
      <c r="AD175" s="491"/>
      <c r="AE175" s="491"/>
    </row>
    <row r="176" spans="1:31" s="1566" customFormat="1" ht="11.25" customHeight="1">
      <c r="A176" s="903"/>
      <c r="B176" s="1561"/>
      <c r="C176" s="1561"/>
      <c r="D176" s="272"/>
      <c r="K176" s="1070"/>
      <c r="L176" s="1561"/>
      <c r="M176" s="1561"/>
      <c r="N176" s="1070"/>
      <c r="O176" s="1070"/>
      <c r="P176" s="1070"/>
      <c r="Q176" s="1070"/>
      <c r="R176" s="1561"/>
      <c r="S176" s="1070"/>
      <c r="T176" s="1070"/>
      <c r="U176" s="469"/>
      <c r="V176" s="1070"/>
      <c r="W176" s="1070"/>
      <c r="X176" s="1070"/>
      <c r="Y176" s="1070"/>
      <c r="Z176" s="1070"/>
      <c r="AA176" s="1557"/>
      <c r="AB176" s="491"/>
      <c r="AC176" s="491"/>
      <c r="AD176" s="491"/>
      <c r="AE176" s="491"/>
    </row>
    <row r="177" spans="1:31" s="1566" customFormat="1" ht="11.25" customHeight="1">
      <c r="A177" s="903"/>
      <c r="B177" s="1561"/>
      <c r="C177" s="1561"/>
      <c r="D177" s="272"/>
      <c r="K177" s="1070"/>
      <c r="L177" s="1561"/>
      <c r="M177" s="1561"/>
      <c r="N177" s="1070"/>
      <c r="O177" s="1070"/>
      <c r="P177" s="1070"/>
      <c r="Q177" s="1070"/>
      <c r="R177" s="1561"/>
      <c r="S177" s="1070"/>
      <c r="T177" s="1070"/>
      <c r="U177" s="469"/>
      <c r="V177" s="1070"/>
      <c r="W177" s="1070"/>
      <c r="X177" s="1070"/>
      <c r="Y177" s="1070"/>
      <c r="Z177" s="1070"/>
      <c r="AA177" s="1557"/>
      <c r="AB177" s="491"/>
      <c r="AC177" s="491"/>
      <c r="AD177" s="491"/>
      <c r="AE177" s="491"/>
    </row>
    <row r="178" spans="1:31" s="1566" customFormat="1" ht="11.25" customHeight="1">
      <c r="A178" s="903"/>
      <c r="B178" s="1561"/>
      <c r="C178" s="1561"/>
      <c r="D178" s="272"/>
      <c r="K178" s="1070"/>
      <c r="L178" s="1561"/>
      <c r="M178" s="1561"/>
      <c r="N178" s="1070"/>
      <c r="O178" s="1070"/>
      <c r="P178" s="1070"/>
      <c r="Q178" s="1070"/>
      <c r="R178" s="1561"/>
      <c r="S178" s="1070"/>
      <c r="T178" s="1070"/>
      <c r="U178" s="469"/>
      <c r="V178" s="1070"/>
      <c r="W178" s="1070"/>
      <c r="X178" s="1070"/>
      <c r="Y178" s="1070"/>
      <c r="Z178" s="1070"/>
      <c r="AA178" s="1557"/>
      <c r="AB178" s="491"/>
      <c r="AC178" s="491"/>
      <c r="AD178" s="491"/>
      <c r="AE178" s="491"/>
    </row>
    <row r="179" spans="1:31" s="1566" customFormat="1" ht="11.25" customHeight="1">
      <c r="A179" s="903"/>
      <c r="B179" s="1561"/>
      <c r="C179" s="1561"/>
      <c r="D179" s="272"/>
      <c r="K179" s="1070"/>
      <c r="L179" s="1561"/>
      <c r="M179" s="1561"/>
      <c r="N179" s="1070"/>
      <c r="O179" s="1070"/>
      <c r="P179" s="1070"/>
      <c r="Q179" s="1070"/>
      <c r="R179" s="1561"/>
      <c r="S179" s="1070"/>
      <c r="T179" s="1070"/>
      <c r="U179" s="469"/>
      <c r="V179" s="1070"/>
      <c r="W179" s="1070"/>
      <c r="X179" s="1070"/>
      <c r="Y179" s="1070"/>
      <c r="Z179" s="1070"/>
      <c r="AA179" s="1557"/>
      <c r="AB179" s="491"/>
      <c r="AC179" s="491"/>
      <c r="AD179" s="491"/>
      <c r="AE179" s="491"/>
    </row>
    <row r="180" spans="1:31" s="1566" customFormat="1" ht="11.25" customHeight="1">
      <c r="A180" s="903"/>
      <c r="B180" s="1561"/>
      <c r="C180" s="1561"/>
      <c r="D180" s="272"/>
      <c r="K180" s="1070"/>
      <c r="L180" s="1561"/>
      <c r="M180" s="1561"/>
      <c r="N180" s="1070"/>
      <c r="O180" s="1070"/>
      <c r="P180" s="1070"/>
      <c r="Q180" s="1070"/>
      <c r="R180" s="1561"/>
      <c r="S180" s="1070"/>
      <c r="T180" s="1070"/>
      <c r="U180" s="469"/>
      <c r="V180" s="1070"/>
      <c r="W180" s="1070"/>
      <c r="X180" s="1070"/>
      <c r="Y180" s="1070"/>
      <c r="Z180" s="1070"/>
      <c r="AA180" s="1557"/>
      <c r="AB180" s="491"/>
      <c r="AC180" s="491"/>
      <c r="AD180" s="491"/>
      <c r="AE180" s="491"/>
    </row>
    <row r="181" spans="1:31" s="1566" customFormat="1" ht="11.25" customHeight="1">
      <c r="A181" s="903"/>
      <c r="B181" s="1561"/>
      <c r="C181" s="1561"/>
      <c r="D181" s="272"/>
      <c r="K181" s="1070"/>
      <c r="L181" s="1561"/>
      <c r="M181" s="1561"/>
      <c r="N181" s="1070"/>
      <c r="O181" s="1070"/>
      <c r="P181" s="1070"/>
      <c r="Q181" s="1070"/>
      <c r="R181" s="1561"/>
      <c r="S181" s="1070"/>
      <c r="T181" s="1070"/>
      <c r="U181" s="469"/>
      <c r="V181" s="1070"/>
      <c r="W181" s="1070"/>
      <c r="X181" s="1070"/>
      <c r="Y181" s="1070"/>
      <c r="Z181" s="1070"/>
      <c r="AA181" s="1557"/>
      <c r="AB181" s="491"/>
      <c r="AC181" s="491"/>
      <c r="AD181" s="491"/>
      <c r="AE181" s="491"/>
    </row>
    <row r="182" spans="1:31" s="1566" customFormat="1" ht="11.25" customHeight="1">
      <c r="A182" s="903"/>
      <c r="B182" s="1561"/>
      <c r="C182" s="1561"/>
      <c r="D182" s="272"/>
      <c r="K182" s="1070"/>
      <c r="L182" s="1561"/>
      <c r="M182" s="1561"/>
      <c r="N182" s="1070"/>
      <c r="O182" s="1070"/>
      <c r="P182" s="1070"/>
      <c r="Q182" s="1070"/>
      <c r="R182" s="1561"/>
      <c r="S182" s="1070"/>
      <c r="T182" s="1070"/>
      <c r="U182" s="469"/>
      <c r="V182" s="1070"/>
      <c r="W182" s="1070"/>
      <c r="X182" s="1070"/>
      <c r="Y182" s="1070"/>
      <c r="Z182" s="1070"/>
      <c r="AA182" s="1557"/>
      <c r="AB182" s="491"/>
      <c r="AC182" s="491"/>
      <c r="AD182" s="491"/>
      <c r="AE182" s="491"/>
    </row>
    <row r="183" spans="1:31" s="1566" customFormat="1" ht="11.25" customHeight="1">
      <c r="A183" s="903"/>
      <c r="B183" s="1561"/>
      <c r="C183" s="1561"/>
      <c r="D183" s="272"/>
      <c r="K183" s="1070"/>
      <c r="L183" s="1561"/>
      <c r="M183" s="1561"/>
      <c r="N183" s="1070"/>
      <c r="O183" s="1070"/>
      <c r="P183" s="1070"/>
      <c r="Q183" s="1070"/>
      <c r="R183" s="1561"/>
      <c r="S183" s="1070"/>
      <c r="T183" s="1070"/>
      <c r="U183" s="469"/>
      <c r="V183" s="1070"/>
      <c r="W183" s="1070"/>
      <c r="X183" s="1070"/>
      <c r="Y183" s="1070"/>
      <c r="Z183" s="1070"/>
      <c r="AA183" s="1557"/>
      <c r="AB183" s="491"/>
      <c r="AC183" s="491"/>
      <c r="AD183" s="491"/>
      <c r="AE183" s="491"/>
    </row>
    <row r="184" spans="1:31" s="1566" customFormat="1" ht="11.25" customHeight="1">
      <c r="A184" s="903"/>
      <c r="B184" s="1561"/>
      <c r="C184" s="1561"/>
      <c r="D184" s="272"/>
      <c r="K184" s="1070"/>
      <c r="L184" s="1561"/>
      <c r="M184" s="1561"/>
      <c r="N184" s="1070"/>
      <c r="O184" s="1070"/>
      <c r="P184" s="1070"/>
      <c r="Q184" s="1070"/>
      <c r="R184" s="1561"/>
      <c r="S184" s="1070"/>
      <c r="T184" s="1070"/>
      <c r="U184" s="469"/>
      <c r="V184" s="1070"/>
      <c r="W184" s="1070"/>
      <c r="X184" s="1070"/>
      <c r="Y184" s="1070"/>
      <c r="Z184" s="1070"/>
      <c r="AA184" s="1557"/>
      <c r="AB184" s="491"/>
      <c r="AC184" s="491"/>
      <c r="AD184" s="491"/>
      <c r="AE184" s="491"/>
    </row>
    <row r="185" spans="1:31" s="1566" customFormat="1" ht="11.25" customHeight="1">
      <c r="A185" s="903"/>
      <c r="B185" s="1561"/>
      <c r="C185" s="1561"/>
      <c r="D185" s="272"/>
      <c r="K185" s="1070"/>
      <c r="L185" s="1561"/>
      <c r="M185" s="1561"/>
      <c r="N185" s="1070"/>
      <c r="O185" s="1070"/>
      <c r="P185" s="1070"/>
      <c r="Q185" s="1070"/>
      <c r="R185" s="1561"/>
      <c r="S185" s="1070"/>
      <c r="T185" s="1070"/>
      <c r="U185" s="469"/>
      <c r="V185" s="1070"/>
      <c r="W185" s="1070"/>
      <c r="X185" s="1070"/>
      <c r="Y185" s="1070"/>
      <c r="Z185" s="1070"/>
      <c r="AA185" s="1557"/>
      <c r="AB185" s="491"/>
      <c r="AC185" s="491"/>
      <c r="AD185" s="491"/>
      <c r="AE185" s="491"/>
    </row>
    <row r="186" spans="1:31" s="1566" customFormat="1" ht="11.25" customHeight="1">
      <c r="A186" s="903"/>
      <c r="B186" s="1561"/>
      <c r="C186" s="1561"/>
      <c r="D186" s="272"/>
      <c r="K186" s="1070"/>
      <c r="L186" s="1561"/>
      <c r="M186" s="1561"/>
      <c r="N186" s="1070"/>
      <c r="O186" s="1070"/>
      <c r="P186" s="1070"/>
      <c r="Q186" s="1070"/>
      <c r="R186" s="1561"/>
      <c r="S186" s="1070"/>
      <c r="T186" s="1070"/>
      <c r="U186" s="469"/>
      <c r="V186" s="1070"/>
      <c r="W186" s="1070"/>
      <c r="X186" s="1070"/>
      <c r="Y186" s="1070"/>
      <c r="Z186" s="1070"/>
      <c r="AA186" s="1557"/>
      <c r="AB186" s="491"/>
      <c r="AC186" s="491"/>
      <c r="AD186" s="491"/>
      <c r="AE186" s="491"/>
    </row>
    <row r="187" spans="1:31" s="1566" customFormat="1" ht="11.25" customHeight="1">
      <c r="A187" s="903"/>
      <c r="B187" s="1561"/>
      <c r="C187" s="1561"/>
      <c r="D187" s="272"/>
      <c r="K187" s="1070"/>
      <c r="L187" s="1561"/>
      <c r="M187" s="1561"/>
      <c r="N187" s="1070"/>
      <c r="O187" s="1070"/>
      <c r="P187" s="1070"/>
      <c r="Q187" s="1070"/>
      <c r="R187" s="1561"/>
      <c r="S187" s="1070"/>
      <c r="T187" s="1070"/>
      <c r="U187" s="469"/>
      <c r="V187" s="1070"/>
      <c r="W187" s="1070"/>
      <c r="X187" s="1070"/>
      <c r="Y187" s="1070"/>
      <c r="Z187" s="1070"/>
      <c r="AA187" s="1557"/>
      <c r="AB187" s="491"/>
      <c r="AC187" s="491"/>
      <c r="AD187" s="491"/>
      <c r="AE187" s="491"/>
    </row>
    <row r="188" spans="1:31" s="1566" customFormat="1" ht="11.25" customHeight="1">
      <c r="A188" s="903"/>
      <c r="B188" s="1561"/>
      <c r="C188" s="1561"/>
      <c r="D188" s="272"/>
      <c r="K188" s="1070"/>
      <c r="L188" s="1561"/>
      <c r="M188" s="1561"/>
      <c r="N188" s="1070"/>
      <c r="O188" s="1070"/>
      <c r="P188" s="1070"/>
      <c r="Q188" s="1070"/>
      <c r="R188" s="1561"/>
      <c r="S188" s="1070"/>
      <c r="T188" s="1070"/>
      <c r="U188" s="469"/>
      <c r="V188" s="1070"/>
      <c r="W188" s="1070"/>
      <c r="X188" s="1070"/>
      <c r="Y188" s="1070"/>
      <c r="Z188" s="1070"/>
      <c r="AA188" s="1557"/>
      <c r="AB188" s="491"/>
      <c r="AC188" s="491"/>
      <c r="AD188" s="491"/>
      <c r="AE188" s="491"/>
    </row>
    <row r="189" spans="1:31" s="1566" customFormat="1" ht="11.25" customHeight="1">
      <c r="A189" s="903"/>
      <c r="B189" s="1561"/>
      <c r="C189" s="1561"/>
      <c r="D189" s="272"/>
      <c r="K189" s="1070"/>
      <c r="L189" s="1561"/>
      <c r="M189" s="1561"/>
      <c r="N189" s="1070"/>
      <c r="O189" s="1070"/>
      <c r="P189" s="1070"/>
      <c r="Q189" s="1070"/>
      <c r="R189" s="1561"/>
      <c r="S189" s="1070"/>
      <c r="T189" s="1070"/>
      <c r="U189" s="469"/>
      <c r="V189" s="1070"/>
      <c r="W189" s="1070"/>
      <c r="X189" s="1070"/>
      <c r="Y189" s="1070"/>
      <c r="Z189" s="1070"/>
      <c r="AA189" s="1557"/>
      <c r="AB189" s="491"/>
      <c r="AC189" s="491"/>
      <c r="AD189" s="491"/>
      <c r="AE189" s="491"/>
    </row>
    <row r="190" spans="1:31" s="1566" customFormat="1" ht="11.25" customHeight="1">
      <c r="A190" s="903"/>
      <c r="B190" s="1561"/>
      <c r="C190" s="1561"/>
      <c r="D190" s="272"/>
      <c r="K190" s="1070"/>
      <c r="L190" s="1561"/>
      <c r="M190" s="1561"/>
      <c r="N190" s="1070"/>
      <c r="O190" s="1070"/>
      <c r="P190" s="1070"/>
      <c r="Q190" s="1070"/>
      <c r="R190" s="1561"/>
      <c r="S190" s="1070"/>
      <c r="T190" s="1070"/>
      <c r="U190" s="469"/>
      <c r="V190" s="1070"/>
      <c r="W190" s="1070"/>
      <c r="X190" s="1070"/>
      <c r="Y190" s="1070"/>
      <c r="Z190" s="1070"/>
      <c r="AA190" s="1557"/>
      <c r="AB190" s="491"/>
      <c r="AC190" s="491"/>
      <c r="AD190" s="491"/>
      <c r="AE190" s="491"/>
    </row>
    <row r="191" spans="1:31" s="1566" customFormat="1" ht="11.25" customHeight="1">
      <c r="A191" s="903"/>
      <c r="B191" s="1561"/>
      <c r="C191" s="1561"/>
      <c r="D191" s="272"/>
      <c r="K191" s="1070"/>
      <c r="L191" s="1561"/>
      <c r="M191" s="1561"/>
      <c r="N191" s="1070"/>
      <c r="O191" s="1070"/>
      <c r="P191" s="1070"/>
      <c r="Q191" s="1070"/>
      <c r="R191" s="1561"/>
      <c r="S191" s="1070"/>
      <c r="T191" s="1070"/>
      <c r="U191" s="469"/>
      <c r="V191" s="1070"/>
      <c r="W191" s="1070"/>
      <c r="X191" s="1070"/>
      <c r="Y191" s="1070"/>
      <c r="Z191" s="1070"/>
      <c r="AA191" s="1557"/>
      <c r="AB191" s="491"/>
      <c r="AC191" s="491"/>
      <c r="AD191" s="491"/>
      <c r="AE191" s="491"/>
    </row>
    <row r="192" spans="1:31" s="1566" customFormat="1" ht="11.25" customHeight="1">
      <c r="A192" s="903"/>
      <c r="B192" s="1561"/>
      <c r="C192" s="1561"/>
      <c r="D192" s="272"/>
      <c r="K192" s="1070"/>
      <c r="L192" s="1561"/>
      <c r="M192" s="1561"/>
      <c r="N192" s="1070"/>
      <c r="O192" s="1070"/>
      <c r="P192" s="1070"/>
      <c r="Q192" s="1070"/>
      <c r="R192" s="1561"/>
      <c r="S192" s="1070"/>
      <c r="T192" s="1070"/>
      <c r="U192" s="469"/>
      <c r="V192" s="1070"/>
      <c r="W192" s="1070"/>
      <c r="X192" s="1070"/>
      <c r="Y192" s="1070"/>
      <c r="Z192" s="1070"/>
      <c r="AA192" s="1557"/>
      <c r="AB192" s="491"/>
      <c r="AC192" s="491"/>
      <c r="AD192" s="491"/>
      <c r="AE192" s="491"/>
    </row>
    <row r="193" spans="1:31" s="1566" customFormat="1" ht="11.25" customHeight="1">
      <c r="A193" s="903"/>
      <c r="B193" s="1561"/>
      <c r="C193" s="1561"/>
      <c r="D193" s="272"/>
      <c r="K193" s="1070"/>
      <c r="L193" s="1561"/>
      <c r="M193" s="1561"/>
      <c r="N193" s="1070"/>
      <c r="O193" s="1070"/>
      <c r="P193" s="1070"/>
      <c r="Q193" s="1070"/>
      <c r="R193" s="1561"/>
      <c r="S193" s="1070"/>
      <c r="T193" s="1070"/>
      <c r="U193" s="469"/>
      <c r="V193" s="1070"/>
      <c r="W193" s="1070"/>
      <c r="X193" s="1070"/>
      <c r="Y193" s="1070"/>
      <c r="Z193" s="1070"/>
      <c r="AA193" s="1557"/>
      <c r="AB193" s="491"/>
      <c r="AC193" s="491"/>
      <c r="AD193" s="491"/>
      <c r="AE193" s="491"/>
    </row>
    <row r="194" spans="1:31" s="1566" customFormat="1" ht="11.25" customHeight="1">
      <c r="A194" s="903"/>
      <c r="B194" s="1561"/>
      <c r="C194" s="1561"/>
      <c r="D194" s="272"/>
      <c r="K194" s="1070"/>
      <c r="L194" s="1561"/>
      <c r="M194" s="1561"/>
      <c r="N194" s="1070"/>
      <c r="O194" s="1070"/>
      <c r="P194" s="1070"/>
      <c r="Q194" s="1070"/>
      <c r="R194" s="1561"/>
      <c r="S194" s="1070"/>
      <c r="T194" s="1070"/>
      <c r="U194" s="469"/>
      <c r="V194" s="1070"/>
      <c r="W194" s="1070"/>
      <c r="X194" s="1070"/>
      <c r="Y194" s="1070"/>
      <c r="Z194" s="1070"/>
      <c r="AA194" s="1557"/>
      <c r="AB194" s="491"/>
      <c r="AC194" s="491"/>
      <c r="AD194" s="491"/>
      <c r="AE194" s="491"/>
    </row>
    <row r="195" spans="1:31" s="1566" customFormat="1" ht="11.25" customHeight="1">
      <c r="A195" s="903"/>
      <c r="B195" s="1561"/>
      <c r="C195" s="1561"/>
      <c r="D195" s="272"/>
      <c r="K195" s="1070"/>
      <c r="L195" s="1561"/>
      <c r="M195" s="1561"/>
      <c r="N195" s="1070"/>
      <c r="O195" s="1070"/>
      <c r="P195" s="1070"/>
      <c r="Q195" s="1070"/>
      <c r="R195" s="1561"/>
      <c r="S195" s="1070"/>
      <c r="T195" s="1070"/>
      <c r="U195" s="469"/>
      <c r="V195" s="1070"/>
      <c r="W195" s="1070"/>
      <c r="X195" s="1070"/>
      <c r="Y195" s="1070"/>
      <c r="Z195" s="1070"/>
      <c r="AA195" s="1557"/>
      <c r="AB195" s="491"/>
      <c r="AC195" s="491"/>
      <c r="AD195" s="491"/>
      <c r="AE195" s="491"/>
    </row>
    <row r="196" spans="1:31" s="1566" customFormat="1" ht="11.25" customHeight="1">
      <c r="A196" s="903"/>
      <c r="B196" s="1561"/>
      <c r="C196" s="1561"/>
      <c r="D196" s="272"/>
      <c r="K196" s="1070"/>
      <c r="L196" s="1561"/>
      <c r="M196" s="1561"/>
      <c r="N196" s="1070"/>
      <c r="O196" s="1070"/>
      <c r="P196" s="1070"/>
      <c r="Q196" s="1070"/>
      <c r="R196" s="1561"/>
      <c r="S196" s="1070"/>
      <c r="T196" s="1070"/>
      <c r="U196" s="469"/>
      <c r="V196" s="1070"/>
      <c r="W196" s="1070"/>
      <c r="X196" s="1070"/>
      <c r="Y196" s="1070"/>
      <c r="Z196" s="1070"/>
      <c r="AA196" s="1557"/>
      <c r="AB196" s="491"/>
      <c r="AC196" s="491"/>
      <c r="AD196" s="491"/>
      <c r="AE196" s="491"/>
    </row>
    <row r="197" spans="1:31" s="1566" customFormat="1" ht="11.25" customHeight="1">
      <c r="A197" s="903"/>
      <c r="B197" s="1561"/>
      <c r="C197" s="1561"/>
      <c r="D197" s="272"/>
      <c r="K197" s="1070"/>
      <c r="L197" s="1561"/>
      <c r="M197" s="1561"/>
      <c r="N197" s="1070"/>
      <c r="O197" s="1070"/>
      <c r="P197" s="1070"/>
      <c r="Q197" s="1070"/>
      <c r="R197" s="1561"/>
      <c r="S197" s="1070"/>
      <c r="T197" s="1070"/>
      <c r="U197" s="469"/>
      <c r="V197" s="1070"/>
      <c r="W197" s="1070"/>
      <c r="X197" s="1070"/>
      <c r="Y197" s="1070"/>
      <c r="Z197" s="1070"/>
      <c r="AA197" s="1557"/>
      <c r="AB197" s="491"/>
      <c r="AC197" s="491"/>
      <c r="AD197" s="491"/>
      <c r="AE197" s="491"/>
    </row>
    <row r="198" spans="1:31" s="1566" customFormat="1" ht="11.25" customHeight="1">
      <c r="A198" s="903"/>
      <c r="B198" s="1561"/>
      <c r="C198" s="1561"/>
      <c r="D198" s="272"/>
      <c r="K198" s="1070"/>
      <c r="L198" s="1561"/>
      <c r="M198" s="1561"/>
      <c r="N198" s="1070"/>
      <c r="O198" s="1070"/>
      <c r="P198" s="1070"/>
      <c r="Q198" s="1070"/>
      <c r="R198" s="1561"/>
      <c r="S198" s="1070"/>
      <c r="T198" s="1070"/>
      <c r="U198" s="469"/>
      <c r="V198" s="1070"/>
      <c r="W198" s="1070"/>
      <c r="X198" s="1070"/>
      <c r="Y198" s="1070"/>
      <c r="Z198" s="1070"/>
      <c r="AA198" s="1557"/>
      <c r="AB198" s="491"/>
      <c r="AC198" s="491"/>
      <c r="AD198" s="491"/>
      <c r="AE198" s="491"/>
    </row>
    <row r="199" spans="1:31" s="1566" customFormat="1" ht="11.25" customHeight="1">
      <c r="A199" s="903"/>
      <c r="B199" s="1561"/>
      <c r="C199" s="1561"/>
      <c r="D199" s="272"/>
      <c r="K199" s="1070"/>
      <c r="L199" s="1561"/>
      <c r="M199" s="1561"/>
      <c r="N199" s="1070"/>
      <c r="O199" s="1070"/>
      <c r="P199" s="1070"/>
      <c r="Q199" s="1070"/>
      <c r="R199" s="1561"/>
      <c r="S199" s="1070"/>
      <c r="T199" s="1070"/>
      <c r="U199" s="469"/>
      <c r="V199" s="1070"/>
      <c r="W199" s="1070"/>
      <c r="X199" s="1070"/>
      <c r="Y199" s="1070"/>
      <c r="Z199" s="1070"/>
      <c r="AA199" s="1557"/>
      <c r="AB199" s="491"/>
      <c r="AC199" s="491"/>
      <c r="AD199" s="491"/>
      <c r="AE199" s="491"/>
    </row>
    <row r="200" spans="1:31" s="1566" customFormat="1" ht="11.25" customHeight="1">
      <c r="A200" s="903"/>
      <c r="B200" s="1561"/>
      <c r="C200" s="1561"/>
      <c r="D200" s="272"/>
      <c r="K200" s="1070"/>
      <c r="L200" s="1561"/>
      <c r="M200" s="1561"/>
      <c r="N200" s="1070"/>
      <c r="O200" s="1070"/>
      <c r="P200" s="1070"/>
      <c r="Q200" s="1070"/>
      <c r="R200" s="1561"/>
      <c r="S200" s="1070"/>
      <c r="T200" s="1070"/>
      <c r="U200" s="469"/>
      <c r="V200" s="1070"/>
      <c r="W200" s="1070"/>
      <c r="X200" s="1070"/>
      <c r="Y200" s="1070"/>
      <c r="Z200" s="1070"/>
      <c r="AA200" s="1557"/>
      <c r="AB200" s="491"/>
      <c r="AC200" s="491"/>
      <c r="AD200" s="491"/>
      <c r="AE200" s="491"/>
    </row>
    <row r="201" spans="1:31" s="1566" customFormat="1" ht="11.25" customHeight="1">
      <c r="A201" s="903"/>
      <c r="B201" s="1561"/>
      <c r="C201" s="1561"/>
      <c r="D201" s="272"/>
      <c r="K201" s="1070"/>
      <c r="L201" s="1561"/>
      <c r="M201" s="1561"/>
      <c r="N201" s="1070"/>
      <c r="O201" s="1070"/>
      <c r="P201" s="1070"/>
      <c r="Q201" s="1070"/>
      <c r="R201" s="1561"/>
      <c r="S201" s="1070"/>
      <c r="T201" s="1070"/>
      <c r="U201" s="469"/>
      <c r="V201" s="1070"/>
      <c r="W201" s="1070"/>
      <c r="X201" s="1070"/>
      <c r="Y201" s="1070"/>
      <c r="Z201" s="1070"/>
      <c r="AA201" s="1557"/>
      <c r="AB201" s="491"/>
      <c r="AC201" s="491"/>
      <c r="AD201" s="491"/>
      <c r="AE201" s="491"/>
    </row>
    <row r="202" spans="1:31" s="1566" customFormat="1" ht="11.25" customHeight="1">
      <c r="A202" s="903"/>
      <c r="B202" s="1561"/>
      <c r="C202" s="1561"/>
      <c r="D202" s="272"/>
      <c r="K202" s="1070"/>
      <c r="L202" s="1561"/>
      <c r="M202" s="1561"/>
      <c r="N202" s="1070"/>
      <c r="O202" s="1070"/>
      <c r="P202" s="1070"/>
      <c r="Q202" s="1070"/>
      <c r="R202" s="1561"/>
      <c r="S202" s="1070"/>
      <c r="T202" s="1070"/>
      <c r="U202" s="469"/>
      <c r="V202" s="1070"/>
      <c r="W202" s="1070"/>
      <c r="X202" s="1070"/>
      <c r="Y202" s="1070"/>
      <c r="Z202" s="1070"/>
      <c r="AA202" s="1557"/>
      <c r="AB202" s="491"/>
      <c r="AC202" s="491"/>
      <c r="AD202" s="491"/>
      <c r="AE202" s="491"/>
    </row>
    <row r="203" spans="1:31" s="1566" customFormat="1" ht="11.25" customHeight="1">
      <c r="A203" s="903"/>
      <c r="B203" s="1561"/>
      <c r="C203" s="1561"/>
      <c r="D203" s="272"/>
      <c r="K203" s="1070"/>
      <c r="L203" s="1561"/>
      <c r="M203" s="1561"/>
      <c r="N203" s="1070"/>
      <c r="O203" s="1070"/>
      <c r="P203" s="1070"/>
      <c r="Q203" s="1070"/>
      <c r="R203" s="1561"/>
      <c r="S203" s="1070"/>
      <c r="T203" s="1070"/>
      <c r="U203" s="469"/>
      <c r="V203" s="1070"/>
      <c r="W203" s="1070"/>
      <c r="X203" s="1070"/>
      <c r="Y203" s="1070"/>
      <c r="Z203" s="1070"/>
      <c r="AA203" s="1557"/>
      <c r="AB203" s="491"/>
      <c r="AC203" s="491"/>
      <c r="AD203" s="491"/>
      <c r="AE203" s="491"/>
    </row>
    <row r="204" spans="1:31" s="1566" customFormat="1" ht="11.25" customHeight="1">
      <c r="A204" s="903"/>
      <c r="B204" s="1561"/>
      <c r="C204" s="1561"/>
      <c r="D204" s="272"/>
      <c r="K204" s="1070"/>
      <c r="L204" s="1561"/>
      <c r="M204" s="1561"/>
      <c r="N204" s="1070"/>
      <c r="O204" s="1070"/>
      <c r="P204" s="1070"/>
      <c r="Q204" s="1070"/>
      <c r="R204" s="1561"/>
      <c r="S204" s="1070"/>
      <c r="T204" s="1070"/>
      <c r="U204" s="469"/>
      <c r="V204" s="1070"/>
      <c r="W204" s="1070"/>
      <c r="X204" s="1070"/>
      <c r="Y204" s="1070"/>
      <c r="Z204" s="1070"/>
      <c r="AA204" s="1557"/>
      <c r="AB204" s="491"/>
      <c r="AC204" s="491"/>
      <c r="AD204" s="491"/>
      <c r="AE204" s="491"/>
    </row>
    <row r="205" spans="1:31" s="1566" customFormat="1" ht="11.25" customHeight="1">
      <c r="A205" s="903"/>
      <c r="B205" s="1561"/>
      <c r="C205" s="1561"/>
      <c r="D205" s="272"/>
      <c r="K205" s="1070"/>
      <c r="L205" s="1561"/>
      <c r="M205" s="1561"/>
      <c r="N205" s="1070"/>
      <c r="O205" s="1070"/>
      <c r="P205" s="1070"/>
      <c r="Q205" s="1070"/>
      <c r="R205" s="1561"/>
      <c r="S205" s="1070"/>
      <c r="T205" s="1070"/>
      <c r="U205" s="469"/>
      <c r="V205" s="1070"/>
      <c r="W205" s="1070"/>
      <c r="X205" s="1070"/>
      <c r="Y205" s="1070"/>
      <c r="Z205" s="1070"/>
      <c r="AA205" s="1557"/>
      <c r="AB205" s="491"/>
      <c r="AC205" s="491"/>
      <c r="AD205" s="491"/>
      <c r="AE205" s="491"/>
    </row>
    <row r="206" spans="1:31" s="1566" customFormat="1" ht="11.25" customHeight="1">
      <c r="A206" s="903"/>
      <c r="B206" s="1561"/>
      <c r="C206" s="1561"/>
      <c r="D206" s="272"/>
      <c r="K206" s="1070"/>
      <c r="L206" s="1561"/>
      <c r="M206" s="1561"/>
      <c r="N206" s="1070"/>
      <c r="O206" s="1070"/>
      <c r="P206" s="1070"/>
      <c r="Q206" s="1070"/>
      <c r="R206" s="1561"/>
      <c r="S206" s="1070"/>
      <c r="T206" s="1070"/>
      <c r="U206" s="469"/>
      <c r="V206" s="1070"/>
      <c r="W206" s="1070"/>
      <c r="X206" s="1070"/>
      <c r="Y206" s="1070"/>
      <c r="Z206" s="1070"/>
      <c r="AA206" s="1557"/>
      <c r="AB206" s="491"/>
      <c r="AC206" s="491"/>
      <c r="AD206" s="491"/>
      <c r="AE206" s="491"/>
    </row>
    <row r="207" spans="1:31" s="1566" customFormat="1" ht="11.25" customHeight="1">
      <c r="A207" s="903"/>
      <c r="B207" s="1561"/>
      <c r="C207" s="1561"/>
      <c r="D207" s="272"/>
      <c r="K207" s="1070"/>
      <c r="L207" s="1561"/>
      <c r="M207" s="1561"/>
      <c r="N207" s="1070"/>
      <c r="O207" s="1070"/>
      <c r="P207" s="1070"/>
      <c r="Q207" s="1070"/>
      <c r="R207" s="1561"/>
      <c r="S207" s="1070"/>
      <c r="T207" s="1070"/>
      <c r="U207" s="469"/>
      <c r="V207" s="1070"/>
      <c r="W207" s="1070"/>
      <c r="X207" s="1070"/>
      <c r="Y207" s="1070"/>
      <c r="Z207" s="1070"/>
      <c r="AA207" s="1557"/>
      <c r="AB207" s="491"/>
      <c r="AC207" s="491"/>
      <c r="AD207" s="491"/>
      <c r="AE207" s="491"/>
    </row>
    <row r="208" spans="1:31" s="1566" customFormat="1" ht="11.25" customHeight="1">
      <c r="A208" s="903"/>
      <c r="B208" s="1561"/>
      <c r="C208" s="1561"/>
      <c r="D208" s="272"/>
      <c r="K208" s="1070"/>
      <c r="L208" s="1561"/>
      <c r="M208" s="1561"/>
      <c r="N208" s="1070"/>
      <c r="O208" s="1070"/>
      <c r="P208" s="1070"/>
      <c r="Q208" s="1070"/>
      <c r="R208" s="1561"/>
      <c r="S208" s="1070"/>
      <c r="T208" s="1070"/>
      <c r="U208" s="469"/>
      <c r="V208" s="1070"/>
      <c r="W208" s="1070"/>
      <c r="X208" s="1070"/>
      <c r="Y208" s="1070"/>
      <c r="Z208" s="1070"/>
      <c r="AA208" s="1557"/>
      <c r="AB208" s="491"/>
      <c r="AC208" s="491"/>
      <c r="AD208" s="491"/>
      <c r="AE208" s="491"/>
    </row>
    <row r="209" spans="1:31" s="1566" customFormat="1" ht="11.25" customHeight="1">
      <c r="A209" s="903"/>
      <c r="B209" s="1561"/>
      <c r="C209" s="1561"/>
      <c r="D209" s="272"/>
      <c r="K209" s="1070"/>
      <c r="L209" s="1561"/>
      <c r="M209" s="1561"/>
      <c r="N209" s="1070"/>
      <c r="O209" s="1070"/>
      <c r="P209" s="1070"/>
      <c r="Q209" s="1070"/>
      <c r="R209" s="1561"/>
      <c r="S209" s="1070"/>
      <c r="T209" s="1070"/>
      <c r="U209" s="469"/>
      <c r="V209" s="1070"/>
      <c r="W209" s="1070"/>
      <c r="X209" s="1070"/>
      <c r="Y209" s="1070"/>
      <c r="Z209" s="1070"/>
      <c r="AA209" s="1557"/>
      <c r="AB209" s="491"/>
      <c r="AC209" s="491"/>
      <c r="AD209" s="491"/>
      <c r="AE209" s="491"/>
    </row>
    <row r="210" spans="1:31" s="1566" customFormat="1" ht="11.25" customHeight="1">
      <c r="A210" s="903"/>
      <c r="B210" s="1561"/>
      <c r="C210" s="1561"/>
      <c r="D210" s="272"/>
      <c r="K210" s="1070"/>
      <c r="L210" s="1561"/>
      <c r="M210" s="1561"/>
      <c r="N210" s="1070"/>
      <c r="O210" s="1070"/>
      <c r="P210" s="1070"/>
      <c r="Q210" s="1070"/>
      <c r="R210" s="1561"/>
      <c r="S210" s="1070"/>
      <c r="T210" s="1070"/>
      <c r="U210" s="469"/>
      <c r="V210" s="1070"/>
      <c r="W210" s="1070"/>
      <c r="X210" s="1070"/>
      <c r="Y210" s="1070"/>
      <c r="Z210" s="1070"/>
      <c r="AA210" s="1557"/>
      <c r="AB210" s="491"/>
      <c r="AC210" s="491"/>
      <c r="AD210" s="491"/>
      <c r="AE210" s="491"/>
    </row>
    <row r="211" spans="1:31" s="1566" customFormat="1" ht="11.25" customHeight="1">
      <c r="A211" s="903"/>
      <c r="B211" s="1561"/>
      <c r="C211" s="1561"/>
      <c r="D211" s="272"/>
      <c r="K211" s="1070"/>
      <c r="L211" s="1561"/>
      <c r="M211" s="1561"/>
      <c r="N211" s="1070"/>
      <c r="O211" s="1070"/>
      <c r="P211" s="1070"/>
      <c r="Q211" s="1070"/>
      <c r="R211" s="1561"/>
      <c r="S211" s="1070"/>
      <c r="T211" s="1070"/>
      <c r="U211" s="469"/>
      <c r="V211" s="1070"/>
      <c r="W211" s="1070"/>
      <c r="X211" s="1070"/>
      <c r="Y211" s="1070"/>
      <c r="Z211" s="1070"/>
      <c r="AA211" s="1557"/>
      <c r="AB211" s="491"/>
      <c r="AC211" s="491"/>
      <c r="AD211" s="491"/>
      <c r="AE211" s="491"/>
    </row>
    <row r="212" spans="1:31" s="1566" customFormat="1" ht="11.25" customHeight="1">
      <c r="A212" s="903"/>
      <c r="B212" s="1561"/>
      <c r="C212" s="1561"/>
      <c r="D212" s="272"/>
      <c r="K212" s="1070"/>
      <c r="L212" s="1561"/>
      <c r="M212" s="1561"/>
      <c r="N212" s="1070"/>
      <c r="O212" s="1070"/>
      <c r="P212" s="1070"/>
      <c r="Q212" s="1070"/>
      <c r="R212" s="1561"/>
      <c r="S212" s="1070"/>
      <c r="T212" s="1070"/>
      <c r="U212" s="469"/>
      <c r="V212" s="1070"/>
      <c r="W212" s="1070"/>
      <c r="X212" s="1070"/>
      <c r="Y212" s="1070"/>
      <c r="Z212" s="1070"/>
      <c r="AA212" s="1557"/>
      <c r="AB212" s="491"/>
      <c r="AC212" s="491"/>
      <c r="AD212" s="491"/>
      <c r="AE212" s="491"/>
    </row>
    <row r="213" spans="1:31" s="1566" customFormat="1" ht="11.25" customHeight="1">
      <c r="A213" s="903"/>
      <c r="B213" s="1561"/>
      <c r="C213" s="1561"/>
      <c r="D213" s="272"/>
      <c r="K213" s="1070"/>
      <c r="L213" s="1561"/>
      <c r="M213" s="1561"/>
      <c r="N213" s="1070"/>
      <c r="O213" s="1070"/>
      <c r="P213" s="1070"/>
      <c r="Q213" s="1070"/>
      <c r="R213" s="1561"/>
      <c r="S213" s="1070"/>
      <c r="T213" s="1070"/>
      <c r="U213" s="469"/>
      <c r="V213" s="1070"/>
      <c r="W213" s="1070"/>
      <c r="X213" s="1070"/>
      <c r="Y213" s="1070"/>
      <c r="Z213" s="1070"/>
      <c r="AA213" s="1557"/>
      <c r="AB213" s="491"/>
      <c r="AC213" s="491"/>
      <c r="AD213" s="491"/>
      <c r="AE213" s="491"/>
    </row>
    <row r="214" spans="1:31" s="1566" customFormat="1" ht="11.25" customHeight="1">
      <c r="A214" s="903"/>
      <c r="B214" s="1561"/>
      <c r="C214" s="1561"/>
      <c r="D214" s="272"/>
      <c r="K214" s="1070"/>
      <c r="L214" s="1561"/>
      <c r="M214" s="1561"/>
      <c r="N214" s="1070"/>
      <c r="O214" s="1070"/>
      <c r="P214" s="1070"/>
      <c r="Q214" s="1070"/>
      <c r="R214" s="1561"/>
      <c r="S214" s="1070"/>
      <c r="T214" s="1070"/>
      <c r="U214" s="469"/>
      <c r="V214" s="1070"/>
      <c r="W214" s="1070"/>
      <c r="X214" s="1070"/>
      <c r="Y214" s="1070"/>
      <c r="Z214" s="1070"/>
      <c r="AA214" s="1557"/>
      <c r="AB214" s="491"/>
      <c r="AC214" s="491"/>
      <c r="AD214" s="491"/>
      <c r="AE214" s="491"/>
    </row>
    <row r="215" spans="1:31" s="1566" customFormat="1" ht="11.25" customHeight="1">
      <c r="A215" s="903"/>
      <c r="B215" s="1561"/>
      <c r="C215" s="1561"/>
      <c r="D215" s="272"/>
      <c r="K215" s="1070"/>
      <c r="L215" s="1561"/>
      <c r="M215" s="1561"/>
      <c r="N215" s="1070"/>
      <c r="O215" s="1070"/>
      <c r="P215" s="1070"/>
      <c r="Q215" s="1070"/>
      <c r="R215" s="1561"/>
      <c r="S215" s="1070"/>
      <c r="T215" s="1070"/>
      <c r="U215" s="469"/>
      <c r="V215" s="1070"/>
      <c r="W215" s="1070"/>
      <c r="X215" s="1070"/>
      <c r="Y215" s="1070"/>
      <c r="Z215" s="1070"/>
      <c r="AA215" s="1557"/>
      <c r="AB215" s="491"/>
      <c r="AC215" s="491"/>
      <c r="AD215" s="491"/>
      <c r="AE215" s="491"/>
    </row>
    <row r="216" spans="1:31" s="1566" customFormat="1" ht="11.25" customHeight="1">
      <c r="A216" s="903"/>
      <c r="B216" s="1561"/>
      <c r="C216" s="1561"/>
      <c r="D216" s="272"/>
      <c r="K216" s="1070"/>
      <c r="L216" s="1561"/>
      <c r="M216" s="1561"/>
      <c r="N216" s="1070"/>
      <c r="O216" s="1070"/>
      <c r="P216" s="1070"/>
      <c r="Q216" s="1070"/>
      <c r="R216" s="1561"/>
      <c r="S216" s="1070"/>
      <c r="T216" s="1070"/>
      <c r="U216" s="469"/>
      <c r="V216" s="1070"/>
      <c r="W216" s="1070"/>
      <c r="X216" s="1070"/>
      <c r="Y216" s="1070"/>
      <c r="Z216" s="1070"/>
      <c r="AA216" s="1557"/>
      <c r="AB216" s="491"/>
      <c r="AC216" s="491"/>
      <c r="AD216" s="491"/>
      <c r="AE216" s="491"/>
    </row>
    <row r="217" spans="1:31" s="1566" customFormat="1" ht="11.25" customHeight="1">
      <c r="A217" s="903"/>
      <c r="B217" s="1561"/>
      <c r="C217" s="1561"/>
      <c r="D217" s="272"/>
      <c r="K217" s="1070"/>
      <c r="L217" s="1561"/>
      <c r="M217" s="1561"/>
      <c r="N217" s="1070"/>
      <c r="O217" s="1070"/>
      <c r="P217" s="1070"/>
      <c r="Q217" s="1070"/>
      <c r="R217" s="1561"/>
      <c r="S217" s="1070"/>
      <c r="T217" s="1070"/>
      <c r="U217" s="469"/>
      <c r="V217" s="1070"/>
      <c r="W217" s="1070"/>
      <c r="X217" s="1070"/>
      <c r="Y217" s="1070"/>
      <c r="Z217" s="1070"/>
      <c r="AA217" s="1557"/>
      <c r="AB217" s="491"/>
      <c r="AC217" s="491"/>
      <c r="AD217" s="491"/>
      <c r="AE217" s="491"/>
    </row>
    <row r="218" spans="1:31" s="1566" customFormat="1" ht="11.25" customHeight="1">
      <c r="A218" s="903"/>
      <c r="B218" s="1561"/>
      <c r="C218" s="1561"/>
      <c r="D218" s="272"/>
      <c r="K218" s="1070"/>
      <c r="L218" s="1561"/>
      <c r="M218" s="1561"/>
      <c r="N218" s="1070"/>
      <c r="O218" s="1070"/>
      <c r="P218" s="1070"/>
      <c r="Q218" s="1070"/>
      <c r="R218" s="1561"/>
      <c r="S218" s="1070"/>
      <c r="T218" s="1070"/>
      <c r="U218" s="469"/>
      <c r="V218" s="1070"/>
      <c r="W218" s="1070"/>
      <c r="X218" s="1070"/>
      <c r="Y218" s="1070"/>
      <c r="Z218" s="1070"/>
      <c r="AA218" s="1557"/>
      <c r="AB218" s="491"/>
      <c r="AC218" s="491"/>
      <c r="AD218" s="491"/>
      <c r="AE218" s="491"/>
    </row>
    <row r="219" spans="1:31" s="1566" customFormat="1" ht="11.25" customHeight="1">
      <c r="A219" s="903"/>
      <c r="B219" s="1561"/>
      <c r="C219" s="1561"/>
      <c r="D219" s="272"/>
      <c r="K219" s="1070"/>
      <c r="L219" s="1561"/>
      <c r="M219" s="1561"/>
      <c r="N219" s="1070"/>
      <c r="O219" s="1070"/>
      <c r="P219" s="1070"/>
      <c r="Q219" s="1070"/>
      <c r="R219" s="1561"/>
      <c r="S219" s="1070"/>
      <c r="T219" s="1070"/>
      <c r="U219" s="469"/>
      <c r="V219" s="1070"/>
      <c r="W219" s="1070"/>
      <c r="X219" s="1070"/>
      <c r="Y219" s="1070"/>
      <c r="Z219" s="1070"/>
      <c r="AA219" s="1557"/>
      <c r="AB219" s="491"/>
      <c r="AC219" s="491"/>
      <c r="AD219" s="491"/>
      <c r="AE219" s="491"/>
    </row>
    <row r="220" spans="1:31" s="1566" customFormat="1" ht="11.25" customHeight="1">
      <c r="A220" s="903"/>
      <c r="B220" s="1561"/>
      <c r="C220" s="1561"/>
      <c r="D220" s="272"/>
      <c r="K220" s="1070"/>
      <c r="L220" s="1561"/>
      <c r="M220" s="1561"/>
      <c r="N220" s="1070"/>
      <c r="O220" s="1070"/>
      <c r="P220" s="1070"/>
      <c r="Q220" s="1070"/>
      <c r="R220" s="1561"/>
      <c r="S220" s="1070"/>
      <c r="T220" s="1070"/>
      <c r="U220" s="469"/>
      <c r="V220" s="1070"/>
      <c r="W220" s="1070"/>
      <c r="X220" s="1070"/>
      <c r="Y220" s="1070"/>
      <c r="Z220" s="1070"/>
      <c r="AA220" s="1557"/>
      <c r="AB220" s="491"/>
      <c r="AC220" s="491"/>
      <c r="AD220" s="491"/>
      <c r="AE220" s="491"/>
    </row>
    <row r="221" spans="1:31" s="1566" customFormat="1" ht="11.25" customHeight="1">
      <c r="A221" s="903"/>
      <c r="B221" s="1561"/>
      <c r="C221" s="1561"/>
      <c r="D221" s="272"/>
      <c r="K221" s="1070"/>
      <c r="L221" s="1561"/>
      <c r="M221" s="1561"/>
      <c r="N221" s="1070"/>
      <c r="O221" s="1070"/>
      <c r="P221" s="1070"/>
      <c r="Q221" s="1070"/>
      <c r="R221" s="1561"/>
      <c r="S221" s="1070"/>
      <c r="T221" s="1070"/>
      <c r="U221" s="469"/>
      <c r="V221" s="1070"/>
      <c r="W221" s="1070"/>
      <c r="X221" s="1070"/>
      <c r="Y221" s="1070"/>
      <c r="Z221" s="1070"/>
      <c r="AA221" s="1557"/>
      <c r="AB221" s="491"/>
      <c r="AC221" s="491"/>
      <c r="AD221" s="491"/>
      <c r="AE221" s="491"/>
    </row>
    <row r="222" spans="1:31" s="1566" customFormat="1" ht="11.25" customHeight="1">
      <c r="A222" s="903"/>
      <c r="B222" s="1561"/>
      <c r="C222" s="1561"/>
      <c r="D222" s="272"/>
      <c r="K222" s="1070"/>
      <c r="L222" s="1561"/>
      <c r="M222" s="1561"/>
      <c r="N222" s="1070"/>
      <c r="O222" s="1070"/>
      <c r="P222" s="1070"/>
      <c r="Q222" s="1070"/>
      <c r="R222" s="1561"/>
      <c r="S222" s="1070"/>
      <c r="T222" s="1070"/>
      <c r="U222" s="469"/>
      <c r="V222" s="1070"/>
      <c r="W222" s="1070"/>
      <c r="X222" s="1070"/>
      <c r="Y222" s="1070"/>
      <c r="Z222" s="1070"/>
      <c r="AA222" s="1557"/>
      <c r="AB222" s="491"/>
      <c r="AC222" s="491"/>
      <c r="AD222" s="491"/>
      <c r="AE222" s="491"/>
    </row>
    <row r="223" spans="1:31" s="1566" customFormat="1" ht="11.25" customHeight="1">
      <c r="A223" s="903"/>
      <c r="B223" s="1561"/>
      <c r="C223" s="1561"/>
      <c r="D223" s="272"/>
      <c r="K223" s="1070"/>
      <c r="L223" s="1561"/>
      <c r="M223" s="1561"/>
      <c r="N223" s="1070"/>
      <c r="O223" s="1070"/>
      <c r="P223" s="1070"/>
      <c r="Q223" s="1070"/>
      <c r="R223" s="1561"/>
      <c r="S223" s="1070"/>
      <c r="T223" s="1070"/>
      <c r="U223" s="469"/>
      <c r="V223" s="1070"/>
      <c r="W223" s="1070"/>
      <c r="X223" s="1070"/>
      <c r="Y223" s="1070"/>
      <c r="Z223" s="1070"/>
      <c r="AA223" s="1557"/>
      <c r="AB223" s="491"/>
      <c r="AC223" s="491"/>
      <c r="AD223" s="491"/>
      <c r="AE223" s="491"/>
    </row>
    <row r="224" spans="1:31" s="1566" customFormat="1" ht="11.25" customHeight="1">
      <c r="A224" s="903"/>
      <c r="B224" s="1561"/>
      <c r="C224" s="1561"/>
      <c r="D224" s="272"/>
      <c r="K224" s="1070"/>
      <c r="L224" s="1561"/>
      <c r="M224" s="1561"/>
      <c r="N224" s="1070"/>
      <c r="O224" s="1070"/>
      <c r="P224" s="1070"/>
      <c r="Q224" s="1070"/>
      <c r="R224" s="1561"/>
      <c r="S224" s="1070"/>
      <c r="T224" s="1070"/>
      <c r="U224" s="469"/>
      <c r="V224" s="1070"/>
      <c r="W224" s="1070"/>
      <c r="X224" s="1070"/>
      <c r="Y224" s="1070"/>
      <c r="Z224" s="1070"/>
      <c r="AA224" s="1557"/>
      <c r="AB224" s="491"/>
      <c r="AC224" s="491"/>
      <c r="AD224" s="491"/>
      <c r="AE224" s="491"/>
    </row>
    <row r="225" spans="1:31" s="1566" customFormat="1" ht="11.25" customHeight="1">
      <c r="A225" s="903"/>
      <c r="B225" s="1561"/>
      <c r="C225" s="1561"/>
      <c r="D225" s="272"/>
      <c r="K225" s="1070"/>
      <c r="L225" s="1561"/>
      <c r="M225" s="1561"/>
      <c r="N225" s="1070"/>
      <c r="O225" s="1070"/>
      <c r="P225" s="1070"/>
      <c r="Q225" s="1070"/>
      <c r="R225" s="1561"/>
      <c r="S225" s="1070"/>
      <c r="T225" s="1070"/>
      <c r="U225" s="469"/>
      <c r="V225" s="1070"/>
      <c r="W225" s="1070"/>
      <c r="X225" s="1070"/>
      <c r="Y225" s="1070"/>
      <c r="Z225" s="1070"/>
      <c r="AA225" s="1557"/>
      <c r="AB225" s="491"/>
      <c r="AC225" s="491"/>
      <c r="AD225" s="491"/>
      <c r="AE225" s="491"/>
    </row>
    <row r="226" spans="1:31" s="1566" customFormat="1" ht="11.25" customHeight="1">
      <c r="A226" s="903"/>
      <c r="B226" s="1561"/>
      <c r="C226" s="1561"/>
      <c r="D226" s="272"/>
      <c r="K226" s="1070"/>
      <c r="L226" s="1561"/>
      <c r="M226" s="1561"/>
      <c r="N226" s="1070"/>
      <c r="O226" s="1070"/>
      <c r="P226" s="1070"/>
      <c r="Q226" s="1070"/>
      <c r="R226" s="1561"/>
      <c r="S226" s="1070"/>
      <c r="T226" s="1070"/>
      <c r="U226" s="469"/>
      <c r="V226" s="1070"/>
      <c r="W226" s="1070"/>
      <c r="X226" s="1070"/>
      <c r="Y226" s="1070"/>
      <c r="Z226" s="1070"/>
      <c r="AA226" s="1557"/>
      <c r="AB226" s="491"/>
      <c r="AC226" s="491"/>
      <c r="AD226" s="491"/>
      <c r="AE226" s="491"/>
    </row>
    <row r="227" spans="1:31" s="1566" customFormat="1" ht="11.25" customHeight="1">
      <c r="A227" s="903"/>
      <c r="B227" s="1561"/>
      <c r="C227" s="1561"/>
      <c r="D227" s="272"/>
      <c r="K227" s="1070"/>
      <c r="L227" s="1561"/>
      <c r="M227" s="1561"/>
      <c r="N227" s="1070"/>
      <c r="O227" s="1070"/>
      <c r="P227" s="1070"/>
      <c r="Q227" s="1070"/>
      <c r="R227" s="1561"/>
      <c r="S227" s="1070"/>
      <c r="T227" s="1070"/>
      <c r="U227" s="469"/>
      <c r="V227" s="1070"/>
      <c r="W227" s="1070"/>
      <c r="X227" s="1070"/>
      <c r="Y227" s="1070"/>
      <c r="Z227" s="1070"/>
      <c r="AA227" s="1557"/>
      <c r="AB227" s="491"/>
      <c r="AC227" s="491"/>
      <c r="AD227" s="491"/>
      <c r="AE227" s="491"/>
    </row>
    <row r="228" spans="1:31" s="1566" customFormat="1" ht="11.25" customHeight="1">
      <c r="A228" s="903"/>
      <c r="B228" s="1561"/>
      <c r="C228" s="1561"/>
      <c r="D228" s="272"/>
      <c r="K228" s="1070"/>
      <c r="L228" s="1561"/>
      <c r="M228" s="1561"/>
      <c r="N228" s="1070"/>
      <c r="O228" s="1070"/>
      <c r="P228" s="1070"/>
      <c r="Q228" s="1070"/>
      <c r="R228" s="1561"/>
      <c r="S228" s="1070"/>
      <c r="T228" s="1070"/>
      <c r="U228" s="469"/>
      <c r="V228" s="1070"/>
      <c r="W228" s="1070"/>
      <c r="X228" s="1070"/>
      <c r="Y228" s="1070"/>
      <c r="Z228" s="1070"/>
      <c r="AA228" s="1557"/>
      <c r="AB228" s="491"/>
      <c r="AC228" s="491"/>
      <c r="AD228" s="491"/>
      <c r="AE228" s="491"/>
    </row>
    <row r="229" spans="1:31" s="1566" customFormat="1" ht="11.25" customHeight="1">
      <c r="A229" s="903"/>
      <c r="B229" s="1561"/>
      <c r="C229" s="1561"/>
      <c r="D229" s="272"/>
      <c r="K229" s="1070"/>
      <c r="L229" s="1561"/>
      <c r="M229" s="1561"/>
      <c r="N229" s="1070"/>
      <c r="O229" s="1070"/>
      <c r="P229" s="1070"/>
      <c r="Q229" s="1070"/>
      <c r="R229" s="1561"/>
      <c r="S229" s="1070"/>
      <c r="T229" s="1070"/>
      <c r="U229" s="469"/>
      <c r="V229" s="1070"/>
      <c r="W229" s="1070"/>
      <c r="X229" s="1070"/>
      <c r="Y229" s="1070"/>
      <c r="Z229" s="1070"/>
      <c r="AA229" s="1557"/>
      <c r="AB229" s="491"/>
      <c r="AC229" s="491"/>
      <c r="AD229" s="491"/>
      <c r="AE229" s="491"/>
    </row>
    <row r="230" spans="1:31" s="1566" customFormat="1" ht="11.25" customHeight="1">
      <c r="A230" s="903"/>
      <c r="B230" s="1561"/>
      <c r="C230" s="1561"/>
      <c r="D230" s="272"/>
      <c r="K230" s="1070"/>
      <c r="L230" s="1561"/>
      <c r="M230" s="1561"/>
      <c r="N230" s="1070"/>
      <c r="O230" s="1070"/>
      <c r="P230" s="1070"/>
      <c r="Q230" s="1070"/>
      <c r="R230" s="1561"/>
      <c r="S230" s="1070"/>
      <c r="T230" s="1070"/>
      <c r="U230" s="469"/>
      <c r="V230" s="1070"/>
      <c r="W230" s="1070"/>
      <c r="X230" s="1070"/>
      <c r="Y230" s="1070"/>
      <c r="Z230" s="1070"/>
      <c r="AA230" s="1557"/>
      <c r="AB230" s="491"/>
      <c r="AC230" s="491"/>
      <c r="AD230" s="491"/>
      <c r="AE230" s="491"/>
    </row>
    <row r="231" spans="1:31" s="1566" customFormat="1" ht="11.25" customHeight="1">
      <c r="A231" s="903"/>
      <c r="B231" s="1561"/>
      <c r="C231" s="1561"/>
      <c r="D231" s="272"/>
      <c r="K231" s="1070"/>
      <c r="L231" s="1561"/>
      <c r="M231" s="1561"/>
      <c r="N231" s="1070"/>
      <c r="O231" s="1070"/>
      <c r="P231" s="1070"/>
      <c r="Q231" s="1070"/>
      <c r="R231" s="1561"/>
      <c r="S231" s="1070"/>
      <c r="T231" s="1070"/>
      <c r="U231" s="469"/>
      <c r="V231" s="1070"/>
      <c r="W231" s="1070"/>
      <c r="X231" s="1070"/>
      <c r="Y231" s="1070"/>
      <c r="Z231" s="1070"/>
      <c r="AA231" s="1557"/>
      <c r="AB231" s="491"/>
      <c r="AC231" s="491"/>
      <c r="AD231" s="491"/>
      <c r="AE231" s="491"/>
    </row>
    <row r="232" spans="1:31" s="1566" customFormat="1" ht="11.25" customHeight="1">
      <c r="A232" s="903"/>
      <c r="B232" s="1561"/>
      <c r="C232" s="1561"/>
      <c r="D232" s="272"/>
      <c r="K232" s="1070"/>
      <c r="L232" s="1561"/>
      <c r="M232" s="1561"/>
      <c r="N232" s="1070"/>
      <c r="O232" s="1070"/>
      <c r="P232" s="1070"/>
      <c r="Q232" s="1070"/>
      <c r="R232" s="1561"/>
      <c r="S232" s="1070"/>
      <c r="T232" s="1070"/>
      <c r="U232" s="469"/>
      <c r="V232" s="1070"/>
      <c r="W232" s="1070"/>
      <c r="X232" s="1070"/>
      <c r="Y232" s="1070"/>
      <c r="Z232" s="1070"/>
      <c r="AA232" s="1557"/>
      <c r="AB232" s="491"/>
      <c r="AC232" s="491"/>
      <c r="AD232" s="491"/>
      <c r="AE232" s="491"/>
    </row>
    <row r="233" spans="1:31" s="1566" customFormat="1" ht="11.25" customHeight="1">
      <c r="A233" s="903"/>
      <c r="B233" s="1561"/>
      <c r="C233" s="1561"/>
      <c r="D233" s="272"/>
      <c r="K233" s="1070"/>
      <c r="L233" s="1561"/>
      <c r="M233" s="1561"/>
      <c r="N233" s="1070"/>
      <c r="O233" s="1070"/>
      <c r="P233" s="1070"/>
      <c r="Q233" s="1070"/>
      <c r="R233" s="1561"/>
      <c r="S233" s="1070"/>
      <c r="T233" s="1070"/>
      <c r="U233" s="469"/>
      <c r="V233" s="1070"/>
      <c r="W233" s="1070"/>
      <c r="X233" s="1070"/>
      <c r="Y233" s="1070"/>
      <c r="Z233" s="1070"/>
      <c r="AA233" s="1557"/>
      <c r="AB233" s="491"/>
      <c r="AC233" s="491"/>
      <c r="AD233" s="491"/>
      <c r="AE233" s="491"/>
    </row>
    <row r="234" spans="1:31" s="1566" customFormat="1" ht="11.25" customHeight="1">
      <c r="A234" s="903"/>
      <c r="B234" s="1561"/>
      <c r="C234" s="1561"/>
      <c r="D234" s="272"/>
      <c r="K234" s="1070"/>
      <c r="L234" s="1561"/>
      <c r="M234" s="1561"/>
      <c r="N234" s="1070"/>
      <c r="O234" s="1070"/>
      <c r="P234" s="1070"/>
      <c r="Q234" s="1070"/>
      <c r="R234" s="1561"/>
      <c r="S234" s="1070"/>
      <c r="T234" s="1070"/>
      <c r="U234" s="469"/>
      <c r="V234" s="1070"/>
      <c r="W234" s="1070"/>
      <c r="X234" s="1070"/>
      <c r="Y234" s="1070"/>
      <c r="Z234" s="1070"/>
      <c r="AA234" s="1557"/>
      <c r="AB234" s="491"/>
      <c r="AC234" s="491"/>
      <c r="AD234" s="491"/>
      <c r="AE234" s="491"/>
    </row>
    <row r="235" spans="1:31" s="1566" customFormat="1" ht="11.25" customHeight="1">
      <c r="A235" s="903"/>
      <c r="B235" s="1561"/>
      <c r="C235" s="1561"/>
      <c r="D235" s="272"/>
      <c r="K235" s="1070"/>
      <c r="L235" s="1561"/>
      <c r="M235" s="1561"/>
      <c r="N235" s="1070"/>
      <c r="O235" s="1070"/>
      <c r="P235" s="1070"/>
      <c r="Q235" s="1070"/>
      <c r="R235" s="1561"/>
      <c r="S235" s="1070"/>
      <c r="T235" s="1070"/>
      <c r="U235" s="469"/>
      <c r="V235" s="1070"/>
      <c r="W235" s="1070"/>
      <c r="X235" s="1070"/>
      <c r="Y235" s="1070"/>
      <c r="Z235" s="1070"/>
      <c r="AA235" s="1557"/>
      <c r="AB235" s="491"/>
      <c r="AC235" s="491"/>
      <c r="AD235" s="491"/>
      <c r="AE235" s="491"/>
    </row>
    <row r="236" spans="1:31" s="1566" customFormat="1" ht="11.25" customHeight="1">
      <c r="A236" s="903"/>
      <c r="B236" s="1561"/>
      <c r="C236" s="1561"/>
      <c r="D236" s="272"/>
      <c r="K236" s="1070"/>
      <c r="L236" s="1561"/>
      <c r="M236" s="1561"/>
      <c r="N236" s="1070"/>
      <c r="O236" s="1070"/>
      <c r="P236" s="1070"/>
      <c r="Q236" s="1070"/>
      <c r="R236" s="1561"/>
      <c r="S236" s="1070"/>
      <c r="T236" s="1070"/>
      <c r="U236" s="469"/>
      <c r="V236" s="1070"/>
      <c r="W236" s="1070"/>
      <c r="X236" s="1070"/>
      <c r="Y236" s="1070"/>
      <c r="Z236" s="1070"/>
      <c r="AA236" s="1557"/>
      <c r="AB236" s="491"/>
      <c r="AC236" s="491"/>
      <c r="AD236" s="491"/>
      <c r="AE236" s="491"/>
    </row>
    <row r="237" spans="1:31" s="1566" customFormat="1" ht="11.25" customHeight="1">
      <c r="A237" s="903"/>
      <c r="B237" s="1561"/>
      <c r="C237" s="1561"/>
      <c r="D237" s="272"/>
      <c r="K237" s="1070"/>
      <c r="L237" s="1561"/>
      <c r="M237" s="1561"/>
      <c r="N237" s="1070"/>
      <c r="O237" s="1070"/>
      <c r="P237" s="1070"/>
      <c r="Q237" s="1070"/>
      <c r="R237" s="1561"/>
      <c r="S237" s="1070"/>
      <c r="T237" s="1070"/>
      <c r="U237" s="469"/>
      <c r="V237" s="1070"/>
      <c r="W237" s="1070"/>
      <c r="X237" s="1070"/>
      <c r="Y237" s="1070"/>
      <c r="Z237" s="1070"/>
      <c r="AA237" s="1557"/>
      <c r="AB237" s="491"/>
      <c r="AC237" s="491"/>
      <c r="AD237" s="491"/>
      <c r="AE237" s="491"/>
    </row>
    <row r="238" spans="1:31" s="1566" customFormat="1" ht="11.25" customHeight="1">
      <c r="A238" s="903"/>
      <c r="B238" s="1561"/>
      <c r="C238" s="1561"/>
      <c r="D238" s="272"/>
      <c r="K238" s="1070"/>
      <c r="L238" s="1561"/>
      <c r="M238" s="1561"/>
      <c r="N238" s="1070"/>
      <c r="O238" s="1070"/>
      <c r="P238" s="1070"/>
      <c r="Q238" s="1070"/>
      <c r="R238" s="1561"/>
      <c r="S238" s="1070"/>
      <c r="T238" s="1070"/>
      <c r="U238" s="469"/>
      <c r="V238" s="1070"/>
      <c r="W238" s="1070"/>
      <c r="X238" s="1070"/>
      <c r="Y238" s="1070"/>
      <c r="Z238" s="1070"/>
      <c r="AA238" s="1557"/>
      <c r="AB238" s="491"/>
      <c r="AC238" s="491"/>
      <c r="AD238" s="491"/>
      <c r="AE238" s="491"/>
    </row>
    <row r="239" spans="1:31" s="1566" customFormat="1" ht="11.25" customHeight="1">
      <c r="A239" s="903"/>
      <c r="B239" s="1561"/>
      <c r="C239" s="1561"/>
      <c r="D239" s="272"/>
      <c r="K239" s="1070"/>
      <c r="L239" s="1561"/>
      <c r="M239" s="1561"/>
      <c r="N239" s="1070"/>
      <c r="O239" s="1070"/>
      <c r="P239" s="1070"/>
      <c r="Q239" s="1070"/>
      <c r="R239" s="1561"/>
      <c r="S239" s="1070"/>
      <c r="T239" s="1070"/>
      <c r="U239" s="469"/>
      <c r="V239" s="1070"/>
      <c r="W239" s="1070"/>
      <c r="X239" s="1070"/>
      <c r="Y239" s="1070"/>
      <c r="Z239" s="1070"/>
      <c r="AA239" s="1557"/>
      <c r="AB239" s="491"/>
      <c r="AC239" s="491"/>
      <c r="AD239" s="491"/>
      <c r="AE239" s="491"/>
    </row>
    <row r="240" spans="1:31" s="1566" customFormat="1" ht="11.25" customHeight="1">
      <c r="A240" s="903"/>
      <c r="B240" s="1561"/>
      <c r="C240" s="1561"/>
      <c r="D240" s="272"/>
      <c r="K240" s="1070"/>
      <c r="L240" s="1561"/>
      <c r="M240" s="1561"/>
      <c r="N240" s="1070"/>
      <c r="O240" s="1070"/>
      <c r="P240" s="1070"/>
      <c r="Q240" s="1070"/>
      <c r="R240" s="1561"/>
      <c r="S240" s="1070"/>
      <c r="T240" s="1070"/>
      <c r="U240" s="469"/>
      <c r="V240" s="1070"/>
      <c r="W240" s="1070"/>
      <c r="X240" s="1070"/>
      <c r="Y240" s="1070"/>
      <c r="Z240" s="1070"/>
      <c r="AA240" s="1557"/>
      <c r="AB240" s="491"/>
      <c r="AC240" s="491"/>
      <c r="AD240" s="491"/>
      <c r="AE240" s="491"/>
    </row>
    <row r="241" spans="1:31" s="1566" customFormat="1" ht="11.25" customHeight="1">
      <c r="A241" s="903"/>
      <c r="B241" s="1561"/>
      <c r="C241" s="1561"/>
      <c r="D241" s="272"/>
      <c r="K241" s="1070"/>
      <c r="L241" s="1561"/>
      <c r="M241" s="1561"/>
      <c r="N241" s="1070"/>
      <c r="O241" s="1070"/>
      <c r="P241" s="1070"/>
      <c r="Q241" s="1070"/>
      <c r="R241" s="1561"/>
      <c r="S241" s="1070"/>
      <c r="T241" s="1070"/>
      <c r="U241" s="469"/>
      <c r="V241" s="1070"/>
      <c r="W241" s="1070"/>
      <c r="X241" s="1070"/>
      <c r="Y241" s="1070"/>
      <c r="Z241" s="1070"/>
      <c r="AA241" s="1557"/>
      <c r="AB241" s="491"/>
      <c r="AC241" s="491"/>
      <c r="AD241" s="491"/>
      <c r="AE241" s="491"/>
    </row>
    <row r="242" spans="1:31" s="1566" customFormat="1" ht="11.25" customHeight="1">
      <c r="A242" s="903"/>
      <c r="B242" s="1561"/>
      <c r="C242" s="1561"/>
      <c r="D242" s="272"/>
      <c r="K242" s="1070"/>
      <c r="L242" s="1561"/>
      <c r="M242" s="1561"/>
      <c r="N242" s="1070"/>
      <c r="O242" s="1070"/>
      <c r="P242" s="1070"/>
      <c r="Q242" s="1070"/>
      <c r="R242" s="1561"/>
      <c r="S242" s="1070"/>
      <c r="T242" s="1070"/>
      <c r="U242" s="469"/>
      <c r="V242" s="1070"/>
      <c r="W242" s="1070"/>
      <c r="X242" s="1070"/>
      <c r="Y242" s="1070"/>
      <c r="Z242" s="1070"/>
      <c r="AA242" s="1557"/>
      <c r="AB242" s="491"/>
      <c r="AC242" s="491"/>
      <c r="AD242" s="491"/>
      <c r="AE242" s="491"/>
    </row>
    <row r="243" spans="1:31" s="1566" customFormat="1" ht="11.25" customHeight="1">
      <c r="A243" s="903"/>
      <c r="B243" s="1561"/>
      <c r="C243" s="1561"/>
      <c r="D243" s="272"/>
      <c r="K243" s="1070"/>
      <c r="L243" s="1561"/>
      <c r="M243" s="1561"/>
      <c r="N243" s="1070"/>
      <c r="O243" s="1070"/>
      <c r="P243" s="1070"/>
      <c r="Q243" s="1070"/>
      <c r="R243" s="1561"/>
      <c r="S243" s="1070"/>
      <c r="T243" s="1070"/>
      <c r="U243" s="469"/>
      <c r="V243" s="1070"/>
      <c r="W243" s="1070"/>
      <c r="X243" s="1070"/>
      <c r="Y243" s="1070"/>
      <c r="Z243" s="1070"/>
      <c r="AA243" s="1557"/>
      <c r="AB243" s="491"/>
      <c r="AC243" s="491"/>
      <c r="AD243" s="491"/>
      <c r="AE243" s="491"/>
    </row>
    <row r="244" spans="1:31" s="1566" customFormat="1" ht="11.25" customHeight="1">
      <c r="A244" s="903"/>
      <c r="B244" s="1561"/>
      <c r="C244" s="1561"/>
      <c r="D244" s="272"/>
      <c r="K244" s="1070"/>
      <c r="L244" s="1561"/>
      <c r="M244" s="1561"/>
      <c r="N244" s="1070"/>
      <c r="O244" s="1070"/>
      <c r="P244" s="1070"/>
      <c r="Q244" s="1070"/>
      <c r="R244" s="1561"/>
      <c r="S244" s="1070"/>
      <c r="T244" s="1070"/>
      <c r="U244" s="469"/>
      <c r="V244" s="1070"/>
      <c r="W244" s="1070"/>
      <c r="X244" s="1070"/>
      <c r="Y244" s="1070"/>
      <c r="Z244" s="1070"/>
      <c r="AA244" s="1557"/>
      <c r="AB244" s="491"/>
      <c r="AC244" s="491"/>
      <c r="AD244" s="491"/>
      <c r="AE244" s="491"/>
    </row>
    <row r="245" spans="1:31" s="1566" customFormat="1" ht="11.25" customHeight="1">
      <c r="A245" s="903"/>
      <c r="B245" s="1561"/>
      <c r="C245" s="1561"/>
      <c r="D245" s="272"/>
      <c r="K245" s="1070"/>
      <c r="L245" s="1561"/>
      <c r="M245" s="1561"/>
      <c r="N245" s="1070"/>
      <c r="O245" s="1070"/>
      <c r="P245" s="1070"/>
      <c r="Q245" s="1070"/>
      <c r="R245" s="1561"/>
      <c r="S245" s="1070"/>
      <c r="T245" s="1070"/>
      <c r="U245" s="469"/>
      <c r="V245" s="1070"/>
      <c r="W245" s="1070"/>
      <c r="X245" s="1070"/>
      <c r="Y245" s="1070"/>
      <c r="Z245" s="1070"/>
      <c r="AA245" s="1557"/>
      <c r="AB245" s="491"/>
      <c r="AC245" s="491"/>
      <c r="AD245" s="491"/>
      <c r="AE245" s="491"/>
    </row>
    <row r="246" spans="1:31" s="1566" customFormat="1" ht="11.25" customHeight="1">
      <c r="A246" s="903"/>
      <c r="B246" s="1561"/>
      <c r="C246" s="1561"/>
      <c r="D246" s="272"/>
      <c r="K246" s="1070"/>
      <c r="L246" s="1561"/>
      <c r="M246" s="1561"/>
      <c r="N246" s="1070"/>
      <c r="O246" s="1070"/>
      <c r="P246" s="1070"/>
      <c r="Q246" s="1070"/>
      <c r="R246" s="1561"/>
      <c r="S246" s="1070"/>
      <c r="T246" s="1070"/>
      <c r="U246" s="469"/>
      <c r="V246" s="1070"/>
      <c r="W246" s="1070"/>
      <c r="X246" s="1070"/>
      <c r="Y246" s="1070"/>
      <c r="Z246" s="1070"/>
      <c r="AA246" s="1557"/>
      <c r="AB246" s="491"/>
      <c r="AC246" s="491"/>
      <c r="AD246" s="491"/>
      <c r="AE246" s="491"/>
    </row>
    <row r="247" spans="1:31" s="1566" customFormat="1" ht="11.25" customHeight="1">
      <c r="A247" s="903"/>
      <c r="B247" s="1561"/>
      <c r="C247" s="1561"/>
      <c r="D247" s="272"/>
      <c r="K247" s="1070"/>
      <c r="L247" s="1561"/>
      <c r="M247" s="1561"/>
      <c r="N247" s="1070"/>
      <c r="O247" s="1070"/>
      <c r="P247" s="1070"/>
      <c r="Q247" s="1070"/>
      <c r="R247" s="1561"/>
      <c r="S247" s="1070"/>
      <c r="T247" s="1070"/>
      <c r="U247" s="469"/>
      <c r="V247" s="1070"/>
      <c r="W247" s="1070"/>
      <c r="X247" s="1070"/>
      <c r="Y247" s="1070"/>
      <c r="Z247" s="1070"/>
      <c r="AA247" s="1557"/>
      <c r="AB247" s="491"/>
      <c r="AC247" s="491"/>
      <c r="AD247" s="491"/>
      <c r="AE247" s="491"/>
    </row>
    <row r="248" spans="1:31" s="1566" customFormat="1" ht="11.25" customHeight="1">
      <c r="A248" s="903"/>
      <c r="B248" s="1561"/>
      <c r="C248" s="1561"/>
      <c r="D248" s="272"/>
      <c r="K248" s="1070"/>
      <c r="L248" s="1561"/>
      <c r="M248" s="1561"/>
      <c r="N248" s="1070"/>
      <c r="O248" s="1070"/>
      <c r="P248" s="1070"/>
      <c r="Q248" s="1070"/>
      <c r="R248" s="1561"/>
      <c r="S248" s="1070"/>
      <c r="T248" s="1070"/>
      <c r="U248" s="469"/>
      <c r="V248" s="1070"/>
      <c r="W248" s="1070"/>
      <c r="X248" s="1070"/>
      <c r="Y248" s="1070"/>
      <c r="Z248" s="1070"/>
      <c r="AA248" s="1557"/>
      <c r="AB248" s="491"/>
      <c r="AC248" s="491"/>
      <c r="AD248" s="491"/>
      <c r="AE248" s="491"/>
    </row>
    <row r="249" spans="1:31" s="1566" customFormat="1" ht="11.25" customHeight="1">
      <c r="A249" s="903"/>
      <c r="B249" s="1561"/>
      <c r="C249" s="1561"/>
      <c r="D249" s="272"/>
      <c r="K249" s="1070"/>
      <c r="L249" s="1561"/>
      <c r="M249" s="1561"/>
      <c r="N249" s="1070"/>
      <c r="O249" s="1070"/>
      <c r="P249" s="1070"/>
      <c r="Q249" s="1070"/>
      <c r="R249" s="1561"/>
      <c r="S249" s="1070"/>
      <c r="T249" s="1070"/>
      <c r="U249" s="469"/>
      <c r="V249" s="1070"/>
      <c r="W249" s="1070"/>
      <c r="X249" s="1070"/>
      <c r="Y249" s="1070"/>
      <c r="Z249" s="1070"/>
      <c r="AA249" s="1557"/>
      <c r="AB249" s="491"/>
      <c r="AC249" s="491"/>
      <c r="AD249" s="491"/>
      <c r="AE249" s="491"/>
    </row>
    <row r="250" spans="1:31" s="1566" customFormat="1" ht="11.25" customHeight="1">
      <c r="A250" s="903"/>
      <c r="B250" s="1561"/>
      <c r="C250" s="1561"/>
      <c r="D250" s="272"/>
      <c r="K250" s="1070"/>
      <c r="L250" s="1561"/>
      <c r="M250" s="1561"/>
      <c r="N250" s="1070"/>
      <c r="O250" s="1070"/>
      <c r="P250" s="1070"/>
      <c r="Q250" s="1070"/>
      <c r="R250" s="1561"/>
      <c r="S250" s="1070"/>
      <c r="T250" s="1070"/>
      <c r="U250" s="469"/>
      <c r="V250" s="1070"/>
      <c r="W250" s="1070"/>
      <c r="X250" s="1070"/>
      <c r="Y250" s="1070"/>
      <c r="Z250" s="1070"/>
      <c r="AA250" s="1557"/>
      <c r="AB250" s="491"/>
      <c r="AC250" s="491"/>
      <c r="AD250" s="491"/>
      <c r="AE250" s="491"/>
    </row>
    <row r="251" spans="1:31" s="1566" customFormat="1" ht="11.25" customHeight="1">
      <c r="A251" s="903"/>
      <c r="B251" s="1561"/>
      <c r="C251" s="1561"/>
      <c r="D251" s="272"/>
      <c r="K251" s="1070"/>
      <c r="L251" s="1561"/>
      <c r="M251" s="1561"/>
      <c r="N251" s="1070"/>
      <c r="O251" s="1070"/>
      <c r="P251" s="1070"/>
      <c r="Q251" s="1070"/>
      <c r="R251" s="1561"/>
      <c r="S251" s="1070"/>
      <c r="T251" s="1070"/>
      <c r="U251" s="469"/>
      <c r="V251" s="1070"/>
      <c r="W251" s="1070"/>
      <c r="X251" s="1070"/>
      <c r="Y251" s="1070"/>
      <c r="Z251" s="1070"/>
      <c r="AA251" s="1557"/>
      <c r="AB251" s="491"/>
      <c r="AC251" s="491"/>
      <c r="AD251" s="491"/>
      <c r="AE251" s="491"/>
    </row>
    <row r="252" spans="1:31" s="1566" customFormat="1" ht="11.25" customHeight="1">
      <c r="A252" s="903"/>
      <c r="B252" s="1561"/>
      <c r="C252" s="1561"/>
      <c r="D252" s="272"/>
      <c r="K252" s="1070"/>
      <c r="L252" s="1561"/>
      <c r="M252" s="1561"/>
      <c r="N252" s="1070"/>
      <c r="O252" s="1070"/>
      <c r="P252" s="1070"/>
      <c r="Q252" s="1070"/>
      <c r="R252" s="1561"/>
      <c r="S252" s="1070"/>
      <c r="T252" s="1070"/>
      <c r="U252" s="469"/>
      <c r="V252" s="1070"/>
      <c r="W252" s="1070"/>
      <c r="X252" s="1070"/>
      <c r="Y252" s="1070"/>
      <c r="Z252" s="1070"/>
      <c r="AA252" s="1557"/>
      <c r="AB252" s="491"/>
      <c r="AC252" s="491"/>
      <c r="AD252" s="491"/>
      <c r="AE252" s="491"/>
    </row>
    <row r="253" spans="1:31" s="1566" customFormat="1" ht="11.25" customHeight="1">
      <c r="A253" s="903"/>
      <c r="B253" s="1561"/>
      <c r="C253" s="1561"/>
      <c r="D253" s="272"/>
      <c r="K253" s="1070"/>
      <c r="L253" s="1561"/>
      <c r="M253" s="1561"/>
      <c r="N253" s="1070"/>
      <c r="O253" s="1070"/>
      <c r="P253" s="1070"/>
      <c r="Q253" s="1070"/>
      <c r="R253" s="1561"/>
      <c r="S253" s="1070"/>
      <c r="T253" s="1070"/>
      <c r="U253" s="469"/>
      <c r="V253" s="1070"/>
      <c r="W253" s="1070"/>
      <c r="X253" s="1070"/>
      <c r="Y253" s="1070"/>
      <c r="Z253" s="1070"/>
      <c r="AA253" s="1557"/>
      <c r="AB253" s="491"/>
      <c r="AC253" s="491"/>
      <c r="AD253" s="491"/>
      <c r="AE253" s="491"/>
    </row>
    <row r="254" spans="1:31" s="1566" customFormat="1" ht="11.25" customHeight="1">
      <c r="A254" s="903"/>
      <c r="B254" s="1561"/>
      <c r="C254" s="1561"/>
      <c r="D254" s="272"/>
      <c r="K254" s="1070"/>
      <c r="L254" s="1561"/>
      <c r="M254" s="1561"/>
      <c r="N254" s="1070"/>
      <c r="O254" s="1070"/>
      <c r="P254" s="1070"/>
      <c r="Q254" s="1070"/>
      <c r="R254" s="1561"/>
      <c r="S254" s="1070"/>
      <c r="T254" s="1070"/>
      <c r="U254" s="469"/>
      <c r="V254" s="1070"/>
      <c r="W254" s="1070"/>
      <c r="X254" s="1070"/>
      <c r="Y254" s="1070"/>
      <c r="Z254" s="1070"/>
      <c r="AA254" s="1557"/>
      <c r="AB254" s="491"/>
      <c r="AC254" s="491"/>
      <c r="AD254" s="491"/>
      <c r="AE254" s="491"/>
    </row>
    <row r="255" spans="1:31" s="1566" customFormat="1" ht="11.25" customHeight="1">
      <c r="A255" s="903"/>
      <c r="B255" s="1561"/>
      <c r="C255" s="1561"/>
      <c r="D255" s="272"/>
      <c r="K255" s="1070"/>
      <c r="L255" s="1561"/>
      <c r="M255" s="1561"/>
      <c r="N255" s="1070"/>
      <c r="O255" s="1070"/>
      <c r="P255" s="1070"/>
      <c r="Q255" s="1070"/>
      <c r="R255" s="1561"/>
      <c r="S255" s="1070"/>
      <c r="T255" s="1070"/>
      <c r="U255" s="469"/>
      <c r="V255" s="1070"/>
      <c r="W255" s="1070"/>
      <c r="X255" s="1070"/>
      <c r="Y255" s="1070"/>
      <c r="Z255" s="1070"/>
      <c r="AA255" s="1557"/>
      <c r="AB255" s="491"/>
      <c r="AC255" s="491"/>
      <c r="AD255" s="491"/>
      <c r="AE255" s="491"/>
    </row>
    <row r="256" spans="1:31" s="1566" customFormat="1" ht="11.25" customHeight="1">
      <c r="A256" s="903"/>
      <c r="B256" s="1561"/>
      <c r="C256" s="1561"/>
      <c r="D256" s="272"/>
      <c r="K256" s="1070"/>
      <c r="L256" s="1561"/>
      <c r="M256" s="1561"/>
      <c r="N256" s="1070"/>
      <c r="O256" s="1070"/>
      <c r="P256" s="1070"/>
      <c r="Q256" s="1070"/>
      <c r="R256" s="1561"/>
      <c r="S256" s="1070"/>
      <c r="T256" s="1070"/>
      <c r="U256" s="469"/>
      <c r="V256" s="1070"/>
      <c r="W256" s="1070"/>
      <c r="X256" s="1070"/>
      <c r="Y256" s="1070"/>
      <c r="Z256" s="1070"/>
      <c r="AA256" s="1557"/>
      <c r="AB256" s="491"/>
      <c r="AC256" s="491"/>
      <c r="AD256" s="491"/>
      <c r="AE256" s="491"/>
    </row>
    <row r="257" spans="1:31" s="1566" customFormat="1" ht="11.25" customHeight="1">
      <c r="A257" s="903"/>
      <c r="B257" s="1561"/>
      <c r="C257" s="1561"/>
      <c r="D257" s="272"/>
      <c r="K257" s="1070"/>
      <c r="L257" s="1561"/>
      <c r="M257" s="1561"/>
      <c r="N257" s="1070"/>
      <c r="O257" s="1070"/>
      <c r="P257" s="1070"/>
      <c r="Q257" s="1070"/>
      <c r="R257" s="1561"/>
      <c r="S257" s="1070"/>
      <c r="T257" s="1070"/>
      <c r="U257" s="469"/>
      <c r="V257" s="1070"/>
      <c r="W257" s="1070"/>
      <c r="X257" s="1070"/>
      <c r="Y257" s="1070"/>
      <c r="Z257" s="1070"/>
      <c r="AA257" s="1557"/>
      <c r="AB257" s="491"/>
      <c r="AC257" s="491"/>
      <c r="AD257" s="491"/>
      <c r="AE257" s="491"/>
    </row>
    <row r="258" spans="1:31" s="1566" customFormat="1" ht="11.25" customHeight="1">
      <c r="A258" s="903"/>
      <c r="B258" s="1561"/>
      <c r="C258" s="1561"/>
      <c r="D258" s="272"/>
      <c r="K258" s="1070"/>
      <c r="L258" s="1561"/>
      <c r="M258" s="1561"/>
      <c r="N258" s="1070"/>
      <c r="O258" s="1070"/>
      <c r="P258" s="1070"/>
      <c r="Q258" s="1070"/>
      <c r="R258" s="1561"/>
      <c r="S258" s="1070"/>
      <c r="T258" s="1070"/>
      <c r="U258" s="469"/>
      <c r="V258" s="1070"/>
      <c r="W258" s="1070"/>
      <c r="X258" s="1070"/>
      <c r="Y258" s="1070"/>
      <c r="Z258" s="1070"/>
      <c r="AA258" s="1557"/>
      <c r="AB258" s="491"/>
      <c r="AC258" s="491"/>
      <c r="AD258" s="491"/>
      <c r="AE258" s="491"/>
    </row>
    <row r="259" spans="1:31" s="1566" customFormat="1" ht="11.25" customHeight="1">
      <c r="A259" s="903"/>
      <c r="B259" s="1561"/>
      <c r="C259" s="1561"/>
      <c r="D259" s="272"/>
      <c r="K259" s="1070"/>
      <c r="L259" s="1561"/>
      <c r="M259" s="1561"/>
      <c r="N259" s="1070"/>
      <c r="O259" s="1070"/>
      <c r="P259" s="1070"/>
      <c r="Q259" s="1070"/>
      <c r="R259" s="1561"/>
      <c r="S259" s="1070"/>
      <c r="T259" s="1070"/>
      <c r="U259" s="469"/>
      <c r="V259" s="1070"/>
      <c r="W259" s="1070"/>
      <c r="X259" s="1070"/>
      <c r="Y259" s="1070"/>
      <c r="Z259" s="1070"/>
      <c r="AA259" s="1557"/>
      <c r="AB259" s="491"/>
      <c r="AC259" s="491"/>
      <c r="AD259" s="491"/>
      <c r="AE259" s="491"/>
    </row>
    <row r="260" spans="1:31" s="1566" customFormat="1" ht="11.25" customHeight="1">
      <c r="A260" s="903"/>
      <c r="B260" s="1561"/>
      <c r="C260" s="1561"/>
      <c r="D260" s="272"/>
      <c r="K260" s="1070"/>
      <c r="L260" s="1561"/>
      <c r="M260" s="1561"/>
      <c r="N260" s="1070"/>
      <c r="O260" s="1070"/>
      <c r="P260" s="1070"/>
      <c r="Q260" s="1070"/>
      <c r="R260" s="1561"/>
      <c r="S260" s="1070"/>
      <c r="T260" s="1070"/>
      <c r="U260" s="469"/>
      <c r="V260" s="1070"/>
      <c r="W260" s="1070"/>
      <c r="X260" s="1070"/>
      <c r="Y260" s="1070"/>
      <c r="Z260" s="1070"/>
      <c r="AA260" s="1557"/>
      <c r="AB260" s="491"/>
      <c r="AC260" s="491"/>
      <c r="AD260" s="491"/>
      <c r="AE260" s="491"/>
    </row>
    <row r="261" spans="1:31" s="1566" customFormat="1" ht="11.25" customHeight="1">
      <c r="A261" s="903"/>
      <c r="B261" s="1561"/>
      <c r="C261" s="1561"/>
      <c r="D261" s="272"/>
      <c r="K261" s="1070"/>
      <c r="L261" s="1561"/>
      <c r="M261" s="1561"/>
      <c r="N261" s="1070"/>
      <c r="O261" s="1070"/>
      <c r="P261" s="1070"/>
      <c r="Q261" s="1070"/>
      <c r="R261" s="1561"/>
      <c r="S261" s="1070"/>
      <c r="T261" s="1070"/>
      <c r="U261" s="469"/>
      <c r="V261" s="1070"/>
      <c r="W261" s="1070"/>
      <c r="X261" s="1070"/>
      <c r="Y261" s="1070"/>
      <c r="Z261" s="1070"/>
      <c r="AA261" s="1557"/>
      <c r="AB261" s="491"/>
      <c r="AC261" s="491"/>
      <c r="AD261" s="491"/>
      <c r="AE261" s="491"/>
    </row>
    <row r="262" spans="1:31" s="1566" customFormat="1" ht="11.25" customHeight="1">
      <c r="A262" s="903"/>
      <c r="B262" s="1561"/>
      <c r="C262" s="1561"/>
      <c r="D262" s="272"/>
      <c r="K262" s="1070"/>
      <c r="L262" s="1561"/>
      <c r="M262" s="1561"/>
      <c r="N262" s="1070"/>
      <c r="O262" s="1070"/>
      <c r="P262" s="1070"/>
      <c r="Q262" s="1070"/>
      <c r="R262" s="1561"/>
      <c r="S262" s="1070"/>
      <c r="T262" s="1070"/>
      <c r="U262" s="469"/>
      <c r="V262" s="1070"/>
      <c r="W262" s="1070"/>
      <c r="X262" s="1070"/>
      <c r="Y262" s="1070"/>
      <c r="Z262" s="1070"/>
      <c r="AA262" s="1557"/>
      <c r="AB262" s="491"/>
      <c r="AC262" s="491"/>
      <c r="AD262" s="491"/>
      <c r="AE262" s="491"/>
    </row>
    <row r="263" spans="1:31" s="1566" customFormat="1" ht="11.25" customHeight="1">
      <c r="A263" s="903"/>
      <c r="B263" s="1561"/>
      <c r="C263" s="1561"/>
      <c r="D263" s="272"/>
      <c r="K263" s="1070"/>
      <c r="L263" s="1561"/>
      <c r="M263" s="1561"/>
      <c r="N263" s="1070"/>
      <c r="O263" s="1070"/>
      <c r="P263" s="1070"/>
      <c r="Q263" s="1070"/>
      <c r="R263" s="1561"/>
      <c r="S263" s="1070"/>
      <c r="T263" s="1070"/>
      <c r="U263" s="469"/>
      <c r="V263" s="1070"/>
      <c r="W263" s="1070"/>
      <c r="X263" s="1070"/>
      <c r="Y263" s="1070"/>
      <c r="Z263" s="1070"/>
      <c r="AA263" s="1557"/>
      <c r="AB263" s="491"/>
      <c r="AC263" s="491"/>
      <c r="AD263" s="491"/>
      <c r="AE263" s="491"/>
    </row>
    <row r="264" spans="1:31" s="1566" customFormat="1" ht="11.25" customHeight="1">
      <c r="A264" s="903"/>
      <c r="B264" s="1561"/>
      <c r="C264" s="1561"/>
      <c r="D264" s="272"/>
      <c r="K264" s="1070"/>
      <c r="L264" s="1561"/>
      <c r="M264" s="1561"/>
      <c r="N264" s="1070"/>
      <c r="O264" s="1070"/>
      <c r="P264" s="1070"/>
      <c r="Q264" s="1070"/>
      <c r="R264" s="1561"/>
      <c r="S264" s="1070"/>
      <c r="T264" s="1070"/>
      <c r="U264" s="469"/>
      <c r="V264" s="1070"/>
      <c r="W264" s="1070"/>
      <c r="X264" s="1070"/>
      <c r="Y264" s="1070"/>
      <c r="Z264" s="1070"/>
      <c r="AA264" s="1557"/>
      <c r="AB264" s="491"/>
      <c r="AC264" s="491"/>
      <c r="AD264" s="491"/>
      <c r="AE264" s="491"/>
    </row>
    <row r="265" spans="1:31" s="1566" customFormat="1" ht="11.25" customHeight="1">
      <c r="A265" s="903"/>
      <c r="B265" s="1561"/>
      <c r="C265" s="1561"/>
      <c r="D265" s="272"/>
      <c r="K265" s="1070"/>
      <c r="L265" s="1561"/>
      <c r="M265" s="1561"/>
      <c r="N265" s="1070"/>
      <c r="O265" s="1070"/>
      <c r="P265" s="1070"/>
      <c r="Q265" s="1070"/>
      <c r="R265" s="1561"/>
      <c r="S265" s="1070"/>
      <c r="T265" s="1070"/>
      <c r="U265" s="469"/>
      <c r="V265" s="1070"/>
      <c r="W265" s="1070"/>
      <c r="X265" s="1070"/>
      <c r="Y265" s="1070"/>
      <c r="Z265" s="1070"/>
      <c r="AA265" s="1557"/>
      <c r="AB265" s="491"/>
      <c r="AC265" s="491"/>
      <c r="AD265" s="491"/>
      <c r="AE265" s="491"/>
    </row>
    <row r="266" spans="1:31" s="1566" customFormat="1" ht="11.25" customHeight="1">
      <c r="A266" s="903"/>
      <c r="B266" s="1561"/>
      <c r="C266" s="1561"/>
      <c r="D266" s="272"/>
      <c r="K266" s="1070"/>
      <c r="L266" s="1561"/>
      <c r="M266" s="1561"/>
      <c r="N266" s="1070"/>
      <c r="O266" s="1070"/>
      <c r="P266" s="1070"/>
      <c r="Q266" s="1070"/>
      <c r="R266" s="1561"/>
      <c r="S266" s="1070"/>
      <c r="T266" s="1070"/>
      <c r="U266" s="469"/>
      <c r="V266" s="1070"/>
      <c r="W266" s="1070"/>
      <c r="X266" s="1070"/>
      <c r="Y266" s="1070"/>
      <c r="Z266" s="1070"/>
      <c r="AA266" s="1557"/>
      <c r="AB266" s="491"/>
      <c r="AC266" s="491"/>
      <c r="AD266" s="491"/>
      <c r="AE266" s="491"/>
    </row>
    <row r="267" spans="1:31" s="1566" customFormat="1" ht="11.25" customHeight="1">
      <c r="A267" s="903"/>
      <c r="B267" s="1561"/>
      <c r="C267" s="1561"/>
      <c r="D267" s="272"/>
      <c r="K267" s="1070"/>
      <c r="L267" s="1561"/>
      <c r="M267" s="1561"/>
      <c r="N267" s="1070"/>
      <c r="O267" s="1070"/>
      <c r="P267" s="1070"/>
      <c r="Q267" s="1070"/>
      <c r="R267" s="1561"/>
      <c r="S267" s="1070"/>
      <c r="T267" s="1070"/>
      <c r="U267" s="469"/>
      <c r="V267" s="1070"/>
      <c r="W267" s="1070"/>
      <c r="X267" s="1070"/>
      <c r="Y267" s="1070"/>
      <c r="Z267" s="1070"/>
      <c r="AA267" s="1557"/>
      <c r="AB267" s="491"/>
      <c r="AC267" s="491"/>
      <c r="AD267" s="491"/>
      <c r="AE267" s="491"/>
    </row>
    <row r="268" spans="1:31" s="1566" customFormat="1" ht="11.25" customHeight="1">
      <c r="A268" s="903"/>
      <c r="B268" s="1561"/>
      <c r="C268" s="1561"/>
      <c r="D268" s="272"/>
      <c r="K268" s="1070"/>
      <c r="L268" s="1561"/>
      <c r="M268" s="1561"/>
      <c r="N268" s="1070"/>
      <c r="O268" s="1070"/>
      <c r="P268" s="1070"/>
      <c r="Q268" s="1070"/>
      <c r="R268" s="1561"/>
      <c r="S268" s="1070"/>
      <c r="T268" s="1070"/>
      <c r="U268" s="469"/>
      <c r="V268" s="1070"/>
      <c r="W268" s="1070"/>
      <c r="X268" s="1070"/>
      <c r="Y268" s="1070"/>
      <c r="Z268" s="1070"/>
      <c r="AA268" s="1557"/>
      <c r="AB268" s="491"/>
      <c r="AC268" s="491"/>
      <c r="AD268" s="491"/>
      <c r="AE268" s="491"/>
    </row>
    <row r="269" spans="1:31" s="1566" customFormat="1" ht="11.25" customHeight="1">
      <c r="A269" s="903"/>
      <c r="B269" s="1561"/>
      <c r="C269" s="1561"/>
      <c r="D269" s="272"/>
      <c r="K269" s="1070"/>
      <c r="L269" s="1561"/>
      <c r="M269" s="1561"/>
      <c r="N269" s="1070"/>
      <c r="O269" s="1070"/>
      <c r="P269" s="1070"/>
      <c r="Q269" s="1070"/>
      <c r="R269" s="1561"/>
      <c r="S269" s="1070"/>
      <c r="T269" s="1070"/>
      <c r="U269" s="469"/>
      <c r="V269" s="1070"/>
      <c r="W269" s="1070"/>
      <c r="X269" s="1070"/>
      <c r="Y269" s="1070"/>
      <c r="Z269" s="1070"/>
      <c r="AA269" s="1557"/>
      <c r="AB269" s="491"/>
      <c r="AC269" s="491"/>
      <c r="AD269" s="491"/>
      <c r="AE269" s="491"/>
    </row>
    <row r="270" spans="1:31" s="1566" customFormat="1" ht="11.25" customHeight="1">
      <c r="A270" s="903"/>
      <c r="B270" s="1561"/>
      <c r="C270" s="1561"/>
      <c r="D270" s="272"/>
      <c r="K270" s="1070"/>
      <c r="L270" s="1561"/>
      <c r="M270" s="1561"/>
      <c r="N270" s="1070"/>
      <c r="O270" s="1070"/>
      <c r="P270" s="1070"/>
      <c r="Q270" s="1070"/>
      <c r="R270" s="1561"/>
      <c r="S270" s="1070"/>
      <c r="T270" s="1070"/>
      <c r="U270" s="469"/>
      <c r="V270" s="1070"/>
      <c r="W270" s="1070"/>
      <c r="X270" s="1070"/>
      <c r="Y270" s="1070"/>
      <c r="Z270" s="1070"/>
      <c r="AA270" s="1557"/>
      <c r="AB270" s="491"/>
      <c r="AC270" s="491"/>
      <c r="AD270" s="491"/>
      <c r="AE270" s="491"/>
    </row>
    <row r="271" spans="1:31" s="1566" customFormat="1" ht="11.25" customHeight="1">
      <c r="A271" s="903"/>
      <c r="B271" s="1561"/>
      <c r="C271" s="1561"/>
      <c r="D271" s="272"/>
      <c r="K271" s="1070"/>
      <c r="L271" s="1561"/>
      <c r="M271" s="1561"/>
      <c r="N271" s="1070"/>
      <c r="O271" s="1070"/>
      <c r="P271" s="1070"/>
      <c r="Q271" s="1070"/>
      <c r="R271" s="1561"/>
      <c r="S271" s="1070"/>
      <c r="T271" s="1070"/>
      <c r="U271" s="469"/>
      <c r="V271" s="1070"/>
      <c r="W271" s="1070"/>
      <c r="X271" s="1070"/>
      <c r="Y271" s="1070"/>
      <c r="Z271" s="1070"/>
      <c r="AA271" s="1557"/>
      <c r="AB271" s="491"/>
      <c r="AC271" s="491"/>
      <c r="AD271" s="491"/>
      <c r="AE271" s="491"/>
    </row>
    <row r="272" spans="1:31" s="1566" customFormat="1" ht="11.25" customHeight="1">
      <c r="A272" s="903"/>
      <c r="B272" s="1561"/>
      <c r="C272" s="1561"/>
      <c r="D272" s="272"/>
      <c r="K272" s="1070"/>
      <c r="L272" s="1561"/>
      <c r="M272" s="1561"/>
      <c r="N272" s="1070"/>
      <c r="O272" s="1070"/>
      <c r="P272" s="1070"/>
      <c r="Q272" s="1070"/>
      <c r="R272" s="1561"/>
      <c r="S272" s="1070"/>
      <c r="T272" s="1070"/>
      <c r="U272" s="469"/>
      <c r="V272" s="1070"/>
      <c r="W272" s="1070"/>
      <c r="X272" s="1070"/>
      <c r="Y272" s="1070"/>
      <c r="Z272" s="1070"/>
      <c r="AA272" s="1557"/>
      <c r="AB272" s="491"/>
      <c r="AC272" s="491"/>
      <c r="AD272" s="491"/>
      <c r="AE272" s="491"/>
    </row>
    <row r="273" spans="1:31" s="1566" customFormat="1" ht="11.25" customHeight="1">
      <c r="A273" s="903"/>
      <c r="B273" s="1561"/>
      <c r="C273" s="1561"/>
      <c r="D273" s="272"/>
      <c r="K273" s="1070"/>
      <c r="L273" s="1561"/>
      <c r="M273" s="1561"/>
      <c r="N273" s="1070"/>
      <c r="O273" s="1070"/>
      <c r="P273" s="1070"/>
      <c r="Q273" s="1070"/>
      <c r="R273" s="1561"/>
      <c r="S273" s="1070"/>
      <c r="T273" s="1070"/>
      <c r="U273" s="469"/>
      <c r="V273" s="1070"/>
      <c r="W273" s="1070"/>
      <c r="X273" s="1070"/>
      <c r="Y273" s="1070"/>
      <c r="Z273" s="1070"/>
      <c r="AA273" s="1557"/>
      <c r="AB273" s="491"/>
      <c r="AC273" s="491"/>
      <c r="AD273" s="491"/>
      <c r="AE273" s="491"/>
    </row>
    <row r="274" spans="1:31" s="1566" customFormat="1" ht="11.25" customHeight="1">
      <c r="A274" s="903"/>
      <c r="B274" s="1561"/>
      <c r="C274" s="1561"/>
      <c r="D274" s="272"/>
      <c r="K274" s="1070"/>
      <c r="L274" s="1561"/>
      <c r="M274" s="1561"/>
      <c r="N274" s="1070"/>
      <c r="O274" s="1070"/>
      <c r="P274" s="1070"/>
      <c r="Q274" s="1070"/>
      <c r="R274" s="1561"/>
      <c r="S274" s="1070"/>
      <c r="T274" s="1070"/>
      <c r="U274" s="469"/>
      <c r="V274" s="1070"/>
      <c r="W274" s="1070"/>
      <c r="X274" s="1070"/>
      <c r="Y274" s="1070"/>
      <c r="Z274" s="1070"/>
      <c r="AA274" s="1557"/>
      <c r="AB274" s="491"/>
      <c r="AC274" s="491"/>
      <c r="AD274" s="491"/>
      <c r="AE274" s="491"/>
    </row>
    <row r="275" spans="1:31" s="1566" customFormat="1" ht="11.25" customHeight="1">
      <c r="A275" s="903"/>
      <c r="B275" s="1561"/>
      <c r="C275" s="1561"/>
      <c r="D275" s="272"/>
      <c r="K275" s="1070"/>
      <c r="L275" s="1561"/>
      <c r="M275" s="1561"/>
      <c r="N275" s="1070"/>
      <c r="O275" s="1070"/>
      <c r="P275" s="1070"/>
      <c r="Q275" s="1070"/>
      <c r="R275" s="1561"/>
      <c r="S275" s="1070"/>
      <c r="T275" s="1070"/>
      <c r="U275" s="469"/>
      <c r="V275" s="1070"/>
      <c r="W275" s="1070"/>
      <c r="X275" s="1070"/>
      <c r="Y275" s="1070"/>
      <c r="Z275" s="1070"/>
      <c r="AA275" s="1557"/>
      <c r="AB275" s="491"/>
      <c r="AC275" s="491"/>
      <c r="AD275" s="491"/>
      <c r="AE275" s="491"/>
    </row>
    <row r="276" spans="1:31" s="1566" customFormat="1" ht="11.25" customHeight="1">
      <c r="A276" s="903"/>
      <c r="B276" s="1561"/>
      <c r="C276" s="1561"/>
      <c r="D276" s="272"/>
      <c r="K276" s="1070"/>
      <c r="L276" s="1561"/>
      <c r="M276" s="1561"/>
      <c r="N276" s="1070"/>
      <c r="O276" s="1070"/>
      <c r="P276" s="1070"/>
      <c r="Q276" s="1070"/>
      <c r="R276" s="1561"/>
      <c r="S276" s="1070"/>
      <c r="T276" s="1070"/>
      <c r="U276" s="469"/>
      <c r="V276" s="1070"/>
      <c r="W276" s="1070"/>
      <c r="X276" s="1070"/>
      <c r="Y276" s="1070"/>
      <c r="Z276" s="1070"/>
      <c r="AA276" s="1557"/>
      <c r="AB276" s="491"/>
      <c r="AC276" s="491"/>
      <c r="AD276" s="491"/>
      <c r="AE276" s="491"/>
    </row>
    <row r="277" spans="1:31" s="1566" customFormat="1" ht="11.25" customHeight="1">
      <c r="A277" s="903"/>
      <c r="B277" s="1561"/>
      <c r="C277" s="1561"/>
      <c r="D277" s="272"/>
      <c r="K277" s="1070"/>
      <c r="L277" s="1561"/>
      <c r="M277" s="1561"/>
      <c r="N277" s="1070"/>
      <c r="O277" s="1070"/>
      <c r="P277" s="1070"/>
      <c r="Q277" s="1070"/>
      <c r="R277" s="1561"/>
      <c r="S277" s="1070"/>
      <c r="T277" s="1070"/>
      <c r="U277" s="469"/>
      <c r="V277" s="1070"/>
      <c r="W277" s="1070"/>
      <c r="X277" s="1070"/>
      <c r="Y277" s="1070"/>
      <c r="Z277" s="1070"/>
      <c r="AA277" s="1557"/>
      <c r="AB277" s="491"/>
      <c r="AC277" s="491"/>
      <c r="AD277" s="491"/>
      <c r="AE277" s="491"/>
    </row>
    <row r="278" spans="1:31" s="1566" customFormat="1" ht="11.25" customHeight="1">
      <c r="A278" s="903"/>
      <c r="B278" s="1561"/>
      <c r="C278" s="1561"/>
      <c r="D278" s="272"/>
      <c r="K278" s="1070"/>
      <c r="L278" s="1561"/>
      <c r="M278" s="1561"/>
      <c r="N278" s="1070"/>
      <c r="O278" s="1070"/>
      <c r="P278" s="1070"/>
      <c r="Q278" s="1070"/>
      <c r="R278" s="1561"/>
      <c r="S278" s="1070"/>
      <c r="T278" s="1070"/>
      <c r="U278" s="469"/>
      <c r="V278" s="1070"/>
      <c r="W278" s="1070"/>
      <c r="X278" s="1070"/>
      <c r="Y278" s="1070"/>
      <c r="Z278" s="1070"/>
      <c r="AA278" s="1557"/>
      <c r="AB278" s="491"/>
      <c r="AC278" s="491"/>
      <c r="AD278" s="491"/>
      <c r="AE278" s="491"/>
    </row>
    <row r="279" spans="1:31" s="1566" customFormat="1" ht="11.25" customHeight="1">
      <c r="A279" s="903"/>
      <c r="B279" s="1561"/>
      <c r="C279" s="1561"/>
      <c r="D279" s="272"/>
      <c r="K279" s="1070"/>
      <c r="L279" s="1561"/>
      <c r="M279" s="1561"/>
      <c r="N279" s="1070"/>
      <c r="O279" s="1070"/>
      <c r="P279" s="1070"/>
      <c r="Q279" s="1070"/>
      <c r="R279" s="1561"/>
      <c r="S279" s="1070"/>
      <c r="T279" s="1070"/>
      <c r="U279" s="469"/>
      <c r="V279" s="1070"/>
      <c r="W279" s="1070"/>
      <c r="X279" s="1070"/>
      <c r="Y279" s="1070"/>
      <c r="Z279" s="1070"/>
      <c r="AA279" s="1557"/>
      <c r="AB279" s="491"/>
      <c r="AC279" s="491"/>
      <c r="AD279" s="491"/>
      <c r="AE279" s="491"/>
    </row>
    <row r="280" spans="1:31" s="1566" customFormat="1" ht="11.25" customHeight="1">
      <c r="A280" s="903"/>
      <c r="B280" s="1561"/>
      <c r="C280" s="1561"/>
      <c r="D280" s="272"/>
      <c r="K280" s="1070"/>
      <c r="L280" s="1561"/>
      <c r="M280" s="1561"/>
      <c r="N280" s="1070"/>
      <c r="O280" s="1070"/>
      <c r="P280" s="1070"/>
      <c r="Q280" s="1070"/>
      <c r="R280" s="1561"/>
      <c r="S280" s="1070"/>
      <c r="T280" s="1070"/>
      <c r="U280" s="469"/>
      <c r="V280" s="1070"/>
      <c r="W280" s="1070"/>
      <c r="X280" s="1070"/>
      <c r="Y280" s="1070"/>
      <c r="Z280" s="1070"/>
      <c r="AA280" s="1557"/>
      <c r="AB280" s="491"/>
      <c r="AC280" s="491"/>
      <c r="AD280" s="491"/>
      <c r="AE280" s="491"/>
    </row>
    <row r="281" spans="1:31" s="1566" customFormat="1" ht="11.25" customHeight="1">
      <c r="A281" s="903"/>
      <c r="B281" s="1561"/>
      <c r="C281" s="1561"/>
      <c r="D281" s="272"/>
      <c r="K281" s="1070"/>
      <c r="L281" s="1561"/>
      <c r="M281" s="1561"/>
      <c r="N281" s="1070"/>
      <c r="O281" s="1070"/>
      <c r="P281" s="1070"/>
      <c r="Q281" s="1070"/>
      <c r="R281" s="1561"/>
      <c r="S281" s="1070"/>
      <c r="T281" s="1070"/>
      <c r="U281" s="469"/>
      <c r="V281" s="1070"/>
      <c r="W281" s="1070"/>
      <c r="X281" s="1070"/>
      <c r="Y281" s="1070"/>
      <c r="Z281" s="1070"/>
      <c r="AA281" s="1557"/>
      <c r="AB281" s="491"/>
      <c r="AC281" s="491"/>
      <c r="AD281" s="491"/>
      <c r="AE281" s="491"/>
    </row>
    <row r="282" spans="1:31" s="1566" customFormat="1" ht="11.25" customHeight="1">
      <c r="A282" s="903"/>
      <c r="B282" s="1561"/>
      <c r="C282" s="1561"/>
      <c r="D282" s="272"/>
      <c r="K282" s="1070"/>
      <c r="L282" s="1561"/>
      <c r="M282" s="1561"/>
      <c r="N282" s="1070"/>
      <c r="O282" s="1070"/>
      <c r="P282" s="1070"/>
      <c r="Q282" s="1070"/>
      <c r="R282" s="1561"/>
      <c r="S282" s="1070"/>
      <c r="T282" s="1070"/>
      <c r="U282" s="469"/>
      <c r="V282" s="1070"/>
      <c r="W282" s="1070"/>
      <c r="X282" s="1070"/>
      <c r="Y282" s="1070"/>
      <c r="Z282" s="1070"/>
      <c r="AA282" s="1557"/>
      <c r="AB282" s="491"/>
      <c r="AC282" s="491"/>
      <c r="AD282" s="491"/>
      <c r="AE282" s="491"/>
    </row>
    <row r="283" spans="1:31" s="1566" customFormat="1" ht="11.25" customHeight="1">
      <c r="A283" s="903"/>
      <c r="B283" s="1561"/>
      <c r="C283" s="1561"/>
      <c r="D283" s="272"/>
      <c r="K283" s="1070"/>
      <c r="L283" s="1561"/>
      <c r="M283" s="1561"/>
      <c r="N283" s="1070"/>
      <c r="O283" s="1070"/>
      <c r="P283" s="1070"/>
      <c r="Q283" s="1070"/>
      <c r="R283" s="1561"/>
      <c r="S283" s="1070"/>
      <c r="T283" s="1070"/>
      <c r="U283" s="469"/>
      <c r="V283" s="1070"/>
      <c r="W283" s="1070"/>
      <c r="X283" s="1070"/>
      <c r="Y283" s="1070"/>
      <c r="Z283" s="1070"/>
      <c r="AA283" s="1557"/>
      <c r="AB283" s="491"/>
      <c r="AC283" s="491"/>
      <c r="AD283" s="491"/>
      <c r="AE283" s="491"/>
    </row>
    <row r="284" spans="1:31" s="1566" customFormat="1" ht="11.25" customHeight="1">
      <c r="A284" s="903"/>
      <c r="B284" s="1561"/>
      <c r="C284" s="1561"/>
      <c r="D284" s="272"/>
      <c r="K284" s="1070"/>
      <c r="L284" s="1561"/>
      <c r="M284" s="1561"/>
      <c r="N284" s="1070"/>
      <c r="O284" s="1070"/>
      <c r="P284" s="1070"/>
      <c r="Q284" s="1070"/>
      <c r="R284" s="1561"/>
      <c r="S284" s="1070"/>
      <c r="T284" s="1070"/>
      <c r="U284" s="469"/>
      <c r="V284" s="1070"/>
      <c r="W284" s="1070"/>
      <c r="X284" s="1070"/>
      <c r="Y284" s="1070"/>
      <c r="Z284" s="1070"/>
      <c r="AA284" s="1557"/>
      <c r="AB284" s="491"/>
      <c r="AC284" s="491"/>
      <c r="AD284" s="491"/>
      <c r="AE284" s="491"/>
    </row>
    <row r="285" spans="1:31" s="1566" customFormat="1" ht="11.25" customHeight="1">
      <c r="A285" s="903"/>
      <c r="B285" s="1561"/>
      <c r="C285" s="1561"/>
      <c r="D285" s="272"/>
      <c r="K285" s="1070"/>
      <c r="L285" s="1561"/>
      <c r="M285" s="1561"/>
      <c r="N285" s="1070"/>
      <c r="O285" s="1070"/>
      <c r="P285" s="1070"/>
      <c r="Q285" s="1070"/>
      <c r="R285" s="1561"/>
      <c r="S285" s="1070"/>
      <c r="T285" s="1070"/>
      <c r="U285" s="469"/>
      <c r="V285" s="1070"/>
      <c r="W285" s="1070"/>
      <c r="X285" s="1070"/>
      <c r="Y285" s="1070"/>
      <c r="Z285" s="1070"/>
      <c r="AA285" s="1557"/>
      <c r="AB285" s="491"/>
      <c r="AC285" s="491"/>
      <c r="AD285" s="491"/>
      <c r="AE285" s="491"/>
    </row>
    <row r="286" spans="1:31" s="1566" customFormat="1" ht="11.25" customHeight="1">
      <c r="A286" s="903"/>
      <c r="B286" s="1561"/>
      <c r="C286" s="1561"/>
      <c r="D286" s="272"/>
      <c r="K286" s="1070"/>
      <c r="L286" s="1561"/>
      <c r="M286" s="1561"/>
      <c r="N286" s="1070"/>
      <c r="O286" s="1070"/>
      <c r="P286" s="1070"/>
      <c r="Q286" s="1070"/>
      <c r="R286" s="1561"/>
      <c r="S286" s="1070"/>
      <c r="T286" s="1070"/>
      <c r="U286" s="469"/>
      <c r="V286" s="1070"/>
      <c r="W286" s="1070"/>
      <c r="X286" s="1070"/>
      <c r="Y286" s="1070"/>
      <c r="Z286" s="1070"/>
      <c r="AA286" s="1557"/>
      <c r="AB286" s="491"/>
      <c r="AC286" s="491"/>
      <c r="AD286" s="491"/>
      <c r="AE286" s="491"/>
    </row>
    <row r="287" spans="1:31" s="1566" customFormat="1" ht="11.25" customHeight="1">
      <c r="A287" s="903"/>
      <c r="B287" s="1561"/>
      <c r="C287" s="1561"/>
      <c r="D287" s="272"/>
      <c r="K287" s="1070"/>
      <c r="L287" s="1561"/>
      <c r="M287" s="1561"/>
      <c r="N287" s="1070"/>
      <c r="O287" s="1070"/>
      <c r="P287" s="1070"/>
      <c r="Q287" s="1070"/>
      <c r="R287" s="1561"/>
      <c r="S287" s="1070"/>
      <c r="T287" s="1070"/>
      <c r="U287" s="469"/>
      <c r="V287" s="1070"/>
      <c r="W287" s="1070"/>
      <c r="X287" s="1070"/>
      <c r="Y287" s="1070"/>
      <c r="Z287" s="1070"/>
      <c r="AA287" s="1557"/>
      <c r="AB287" s="491"/>
      <c r="AC287" s="491"/>
      <c r="AD287" s="491"/>
      <c r="AE287" s="491"/>
    </row>
    <row r="288" spans="1:31" s="1566" customFormat="1" ht="11.25" customHeight="1">
      <c r="A288" s="903"/>
      <c r="B288" s="1561"/>
      <c r="C288" s="1561"/>
      <c r="D288" s="272"/>
      <c r="K288" s="1070"/>
      <c r="L288" s="1561"/>
      <c r="M288" s="1561"/>
      <c r="N288" s="1070"/>
      <c r="O288" s="1070"/>
      <c r="P288" s="1070"/>
      <c r="Q288" s="1070"/>
      <c r="R288" s="1561"/>
      <c r="S288" s="1070"/>
      <c r="T288" s="1070"/>
      <c r="U288" s="469"/>
      <c r="V288" s="1070"/>
      <c r="W288" s="1070"/>
      <c r="X288" s="1070"/>
      <c r="Y288" s="1070"/>
      <c r="Z288" s="1070"/>
      <c r="AA288" s="1557"/>
      <c r="AB288" s="491"/>
      <c r="AC288" s="491"/>
      <c r="AD288" s="491"/>
      <c r="AE288" s="491"/>
    </row>
    <row r="292" spans="1:31" ht="11.25" customHeight="1">
      <c r="A292" s="906"/>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row>
    <row r="293" spans="1:31" ht="11.25" customHeight="1">
      <c r="A293" s="906"/>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row>
    <row r="294" spans="1:31" ht="11.25" customHeight="1">
      <c r="A294" s="906"/>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row>
    <row r="295" spans="1:31" ht="11.25" customHeight="1">
      <c r="A295" s="906"/>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row>
    <row r="296" spans="1:31" ht="11.25" customHeight="1">
      <c r="A296" s="906"/>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row>
    <row r="297" spans="1:31" ht="11.25" customHeight="1">
      <c r="A297" s="906"/>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row>
    <row r="298" spans="1:31" ht="11.25" customHeight="1">
      <c r="A298" s="906"/>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row>
    <row r="299" spans="1:31" ht="11.25" customHeight="1">
      <c r="A299" s="906"/>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row>
    <row r="300" spans="1:31" ht="11.25" customHeight="1">
      <c r="A300" s="906"/>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row>
    <row r="301" spans="1:31" ht="11.25" customHeight="1">
      <c r="A301" s="906"/>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row>
    <row r="302" spans="1:31" ht="11.25" customHeight="1">
      <c r="A302" s="906"/>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860" hidden="1" customWidth="1"/>
    <col min="2" max="2" width="17" style="1557" hidden="1" customWidth="1"/>
    <col min="3" max="3" width="3.69921875" style="1560" customWidth="1"/>
    <col min="4" max="4" width="1.796875" style="1560" hidden="1" customWidth="1"/>
    <col min="5" max="6" width="7.69921875" style="1560" customWidth="1"/>
    <col min="7" max="7" width="29.69921875" style="1560" customWidth="1"/>
    <col min="8" max="8" width="3.69921875" style="1560" customWidth="1"/>
    <col min="9" max="9" width="5.3984375" style="1560" customWidth="1"/>
    <col min="10" max="10" width="24.59765625" style="1560" customWidth="1"/>
    <col min="11" max="11" width="24.3984375" style="1560" customWidth="1"/>
    <col min="12" max="12" width="3.69921875" style="1560" customWidth="1"/>
    <col min="13" max="13" width="6.296875" style="1560" customWidth="1"/>
    <col min="14" max="14" width="25.796875" style="1560" customWidth="1"/>
    <col min="15" max="18" width="18.69921875" style="1560" customWidth="1"/>
    <col min="19" max="19" width="93.3984375" style="1560" customWidth="1"/>
    <col min="20" max="20" width="10.59765625" style="1560" customWidth="1"/>
    <col min="21" max="21" width="10.59765625" style="1567" customWidth="1"/>
    <col min="22" max="22" width="11.69921875" style="1567" customWidth="1"/>
    <col min="23" max="27" width="10.59765625" style="1557" customWidth="1"/>
    <col min="28" max="83" width="9.09765625" style="1560"/>
  </cols>
  <sheetData>
    <row r="1" spans="1:83" ht="11.25" hidden="1" customHeight="1"/>
    <row r="2" spans="1:83" ht="11.25" hidden="1" customHeight="1"/>
    <row r="3" spans="1:83" ht="11.25" hidden="1" customHeight="1"/>
    <row r="4" spans="1:83" ht="3" customHeight="1">
      <c r="C4" s="435"/>
      <c r="D4" s="435"/>
      <c r="E4" s="435"/>
      <c r="F4" s="435"/>
      <c r="G4" s="435"/>
      <c r="H4" s="435"/>
      <c r="I4" s="435"/>
      <c r="J4" s="435"/>
      <c r="K4" s="84"/>
      <c r="L4" s="84"/>
      <c r="M4" s="84"/>
    </row>
    <row r="5" spans="1:83" ht="33.75" customHeight="1">
      <c r="C5" s="435"/>
      <c r="D5" s="973"/>
      <c r="E5" s="2067" t="str">
        <f>FHD20_NAME_FORM</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67"/>
      <c r="G5" s="2067"/>
      <c r="H5" s="2067"/>
      <c r="I5" s="2067"/>
      <c r="J5" s="2067"/>
      <c r="K5" s="2067"/>
      <c r="L5" s="534"/>
      <c r="M5" s="534"/>
    </row>
    <row r="6" spans="1:83" s="1560" customFormat="1" ht="16.5" customHeight="1">
      <c r="A6" s="531"/>
      <c r="B6" s="678"/>
      <c r="C6" s="435"/>
      <c r="D6" s="974"/>
      <c r="E6" s="1927" t="str">
        <f>IF(org=0,"Не определено",org)</f>
        <v>НАО "СВЕЗА Мантурово"</v>
      </c>
      <c r="F6" s="1927"/>
      <c r="G6" s="1927"/>
      <c r="H6" s="1927"/>
      <c r="I6" s="1927"/>
      <c r="J6" s="1927"/>
      <c r="K6" s="1927"/>
      <c r="L6" s="534"/>
      <c r="M6" s="534"/>
      <c r="U6" s="532"/>
      <c r="V6" s="532"/>
      <c r="W6" s="533"/>
      <c r="X6" s="678"/>
      <c r="Y6" s="678"/>
      <c r="Z6" s="678"/>
      <c r="AA6" s="678"/>
    </row>
    <row r="7" spans="1:83" ht="11.25" customHeight="1">
      <c r="C7" s="435"/>
      <c r="D7" s="435"/>
      <c r="E7" s="435"/>
      <c r="F7" s="435"/>
      <c r="G7" s="448"/>
      <c r="H7" s="448"/>
      <c r="I7" s="448"/>
      <c r="J7" s="448"/>
      <c r="K7" s="535"/>
      <c r="L7" s="535"/>
      <c r="M7" s="535"/>
      <c r="R7" s="671"/>
    </row>
    <row r="8" spans="1:83" s="1566" customFormat="1" ht="5.25" customHeight="1">
      <c r="A8" s="542"/>
      <c r="B8" s="491"/>
      <c r="C8" s="272"/>
      <c r="D8" s="272"/>
      <c r="E8" s="272"/>
      <c r="F8" s="272"/>
      <c r="G8" s="891"/>
      <c r="H8" s="891"/>
      <c r="I8" s="891"/>
      <c r="J8" s="891"/>
      <c r="K8" s="934"/>
      <c r="L8" s="934"/>
      <c r="M8" s="934"/>
      <c r="R8" s="935"/>
      <c r="U8" s="532"/>
      <c r="V8" s="532"/>
      <c r="W8" s="543"/>
      <c r="X8" s="491"/>
      <c r="Y8" s="491"/>
      <c r="Z8" s="491"/>
      <c r="AA8" s="491"/>
    </row>
    <row r="9" spans="1:83" ht="18.75" customHeight="1">
      <c r="D9" s="204"/>
      <c r="E9" s="1822" t="s">
        <v>282</v>
      </c>
      <c r="F9" s="1827"/>
      <c r="G9" s="1827"/>
      <c r="H9" s="1827"/>
      <c r="I9" s="1827"/>
      <c r="J9" s="1827"/>
      <c r="K9" s="1827"/>
      <c r="L9" s="1827"/>
      <c r="M9" s="1827"/>
      <c r="N9" s="1827"/>
      <c r="O9" s="1827"/>
      <c r="P9" s="1827"/>
      <c r="Q9" s="1827"/>
      <c r="R9" s="1821"/>
      <c r="S9" s="1840" t="s">
        <v>283</v>
      </c>
      <c r="T9" s="256"/>
    </row>
    <row r="10" spans="1:83" ht="33.75" customHeight="1">
      <c r="D10" s="476" t="s">
        <v>87</v>
      </c>
      <c r="E10" s="1840" t="s">
        <v>87</v>
      </c>
      <c r="F10" s="1840"/>
      <c r="G10" s="447" t="s">
        <v>284</v>
      </c>
      <c r="H10" s="1840" t="s">
        <v>87</v>
      </c>
      <c r="I10" s="1840"/>
      <c r="J10" s="447" t="s">
        <v>1771</v>
      </c>
      <c r="K10" s="447" t="s">
        <v>1772</v>
      </c>
      <c r="L10" s="1840" t="s">
        <v>87</v>
      </c>
      <c r="M10" s="1840"/>
      <c r="N10" s="447" t="s">
        <v>1773</v>
      </c>
      <c r="O10" s="447" t="s">
        <v>1774</v>
      </c>
      <c r="P10" s="447" t="s">
        <v>1775</v>
      </c>
      <c r="Q10" s="447" t="s">
        <v>1776</v>
      </c>
      <c r="R10" s="447" t="s">
        <v>1777</v>
      </c>
      <c r="S10" s="1840"/>
      <c r="T10" s="256"/>
    </row>
    <row r="11" spans="1:83" s="1567" customFormat="1" ht="15" hidden="1" customHeight="1">
      <c r="A11" s="968"/>
      <c r="D11" s="941" t="s">
        <v>105</v>
      </c>
      <c r="E11" s="941"/>
      <c r="F11" s="941" t="s">
        <v>106</v>
      </c>
      <c r="G11" s="941" t="s">
        <v>89</v>
      </c>
      <c r="H11" s="941"/>
      <c r="I11" s="941" t="s">
        <v>90</v>
      </c>
      <c r="J11" s="941" t="s">
        <v>107</v>
      </c>
      <c r="K11" s="941" t="s">
        <v>91</v>
      </c>
      <c r="L11" s="941"/>
      <c r="M11" s="941" t="s">
        <v>92</v>
      </c>
      <c r="N11" s="941" t="s">
        <v>108</v>
      </c>
      <c r="O11" s="941" t="s">
        <v>144</v>
      </c>
      <c r="P11" s="941" t="s">
        <v>145</v>
      </c>
      <c r="Q11" s="941" t="s">
        <v>146</v>
      </c>
      <c r="R11" s="941" t="s">
        <v>147</v>
      </c>
      <c r="S11" s="941" t="s">
        <v>148</v>
      </c>
      <c r="U11" s="532"/>
      <c r="V11" s="532"/>
      <c r="W11" s="532"/>
    </row>
    <row r="12" spans="1:83" s="1560" customFormat="1" ht="0.75" customHeight="1">
      <c r="A12" s="536"/>
      <c r="B12" s="285"/>
      <c r="D12" s="473"/>
      <c r="E12" s="267"/>
      <c r="F12" s="267"/>
      <c r="Q12" s="537"/>
      <c r="R12" s="538"/>
      <c r="T12" s="539"/>
      <c r="U12" s="540"/>
      <c r="V12" s="540"/>
      <c r="W12" s="541"/>
      <c r="X12" s="285"/>
      <c r="Y12" s="285"/>
      <c r="Z12" s="285"/>
      <c r="AA12" s="285"/>
    </row>
    <row r="13" spans="1:83" s="1566" customFormat="1" ht="0.75" customHeight="1">
      <c r="A13" s="542"/>
      <c r="B13" s="491"/>
      <c r="D13" s="473" t="s">
        <v>376</v>
      </c>
      <c r="E13" s="485"/>
      <c r="F13" s="485"/>
      <c r="G13" s="485"/>
      <c r="H13" s="485"/>
      <c r="I13" s="485"/>
      <c r="J13" s="485"/>
      <c r="K13" s="485"/>
      <c r="L13" s="485"/>
      <c r="M13" s="485"/>
      <c r="N13" s="485"/>
      <c r="O13" s="485"/>
      <c r="P13" s="485"/>
      <c r="Q13" s="485"/>
      <c r="R13" s="485"/>
      <c r="T13" s="256"/>
      <c r="U13" s="532"/>
      <c r="V13" s="532"/>
      <c r="W13" s="543"/>
      <c r="X13" s="491"/>
      <c r="Y13" s="491"/>
      <c r="Z13" s="491"/>
      <c r="AA13" s="491"/>
    </row>
    <row r="14" spans="1:83" s="1796" customFormat="1" ht="15" hidden="1" customHeight="1">
      <c r="A14" s="544" t="s">
        <v>113</v>
      </c>
      <c r="B14"/>
      <c r="C14"/>
      <c r="D14" s="2160" t="s">
        <v>105</v>
      </c>
      <c r="E14" s="1972" t="s">
        <v>101</v>
      </c>
      <c r="F14" s="1973"/>
      <c r="G14" s="1974"/>
      <c r="H14" s="1975">
        <f>IF(A14="","",INDEX(DIFFERENTIATION_UNMERGE_VD,MATCH(A14,DIFFERENTIATION_ID_DIFF,0)))</f>
        <v>0</v>
      </c>
      <c r="I14" s="1975"/>
      <c r="J14" s="1975"/>
      <c r="K14" s="1975"/>
      <c r="L14" s="1975"/>
      <c r="M14" s="1975"/>
      <c r="N14" s="1975"/>
      <c r="O14" s="1975"/>
      <c r="P14" s="1975"/>
      <c r="Q14" s="1975"/>
      <c r="R14" s="1975"/>
      <c r="S14" s="638"/>
      <c r="T14" s="635"/>
      <c r="U14" s="545"/>
      <c r="V14" s="545"/>
      <c r="W14" s="546"/>
      <c r="X14" s="546"/>
      <c r="Y14" s="546"/>
      <c r="Z14" s="546"/>
      <c r="AA14" s="547"/>
      <c r="AB14" s="548"/>
      <c r="AC14" s="1984"/>
      <c r="AD14" s="549"/>
      <c r="AE14" s="550" t="s">
        <v>18</v>
      </c>
      <c r="AF14" s="550"/>
      <c r="AG14" s="551" t="s">
        <v>427</v>
      </c>
      <c r="AH14" s="552">
        <v>3</v>
      </c>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c r="BO14" s="545"/>
      <c r="BP14" s="545"/>
      <c r="BQ14" s="545"/>
      <c r="BR14" s="545"/>
      <c r="BS14" s="545"/>
      <c r="BT14" s="545"/>
      <c r="BU14" s="545"/>
      <c r="BV14" s="546"/>
      <c r="BW14" s="546"/>
      <c r="BX14" s="546"/>
      <c r="BY14" s="546"/>
      <c r="BZ14" s="546"/>
      <c r="CA14" s="546"/>
      <c r="CB14" s="546"/>
      <c r="CC14" s="546"/>
      <c r="CD14" s="546"/>
      <c r="CE14" s="546"/>
    </row>
    <row r="15" spans="1:83" s="1796" customFormat="1" ht="15" hidden="1" customHeight="1">
      <c r="A15" s="544"/>
      <c r="B15"/>
      <c r="C15"/>
      <c r="D15" s="2161"/>
      <c r="E15" s="1972" t="s">
        <v>428</v>
      </c>
      <c r="F15" s="1973"/>
      <c r="G15" s="1974"/>
      <c r="H15" s="1975" t="str">
        <f>IF(A14="","",INDEX(DIFFERENTIATION_UNMERGE_AREA,MATCH(A14,DIFFERENTIATION_ID_DIFF,0)))</f>
        <v/>
      </c>
      <c r="I15" s="1975"/>
      <c r="J15" s="1975"/>
      <c r="K15" s="1975"/>
      <c r="L15" s="1975"/>
      <c r="M15" s="1975"/>
      <c r="N15" s="1975"/>
      <c r="O15" s="1975"/>
      <c r="P15" s="1975"/>
      <c r="Q15" s="1975"/>
      <c r="R15" s="1975"/>
      <c r="S15" s="638"/>
      <c r="T15" s="635"/>
      <c r="U15" s="545"/>
      <c r="V15" s="545"/>
      <c r="W15" s="546"/>
      <c r="X15" s="546"/>
      <c r="Y15" s="546"/>
      <c r="Z15" s="546"/>
      <c r="AA15" s="547"/>
      <c r="AB15" s="548"/>
      <c r="AC15" s="1984"/>
      <c r="AD15" s="549"/>
      <c r="AE15" s="550"/>
      <c r="AF15" s="550"/>
      <c r="AG15" s="551"/>
      <c r="AH15" s="552"/>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c r="BO15" s="545"/>
      <c r="BP15" s="545"/>
      <c r="BQ15" s="545"/>
      <c r="BR15" s="545"/>
      <c r="BS15" s="545"/>
      <c r="BT15" s="545"/>
      <c r="BU15" s="545"/>
      <c r="BV15" s="546"/>
      <c r="BW15" s="546"/>
      <c r="BX15" s="546"/>
      <c r="BY15" s="546"/>
      <c r="BZ15" s="546"/>
      <c r="CA15" s="546"/>
      <c r="CB15" s="546"/>
      <c r="CC15" s="546"/>
      <c r="CD15" s="546"/>
      <c r="CE15" s="546"/>
    </row>
    <row r="16" spans="1:83" s="1796" customFormat="1" ht="15" hidden="1" customHeight="1">
      <c r="A16" s="544"/>
      <c r="B16"/>
      <c r="C16"/>
      <c r="D16" s="2161"/>
      <c r="E16" s="1972" t="s">
        <v>429</v>
      </c>
      <c r="F16" s="1973"/>
      <c r="G16" s="1974"/>
      <c r="H16" s="1975" t="str">
        <f>IF(A14="","",INDEX(DIFFERENTIATION_UNMERGE_SYSTEM,MATCH(A14,DIFFERENTIATION_ID_DIFF,0)))</f>
        <v>без дифференциации</v>
      </c>
      <c r="I16" s="1975"/>
      <c r="J16" s="1975"/>
      <c r="K16" s="1975"/>
      <c r="L16" s="1975"/>
      <c r="M16" s="1975"/>
      <c r="N16" s="1975"/>
      <c r="O16" s="1975"/>
      <c r="P16" s="1975"/>
      <c r="Q16" s="1975"/>
      <c r="R16" s="1975"/>
      <c r="S16" s="638"/>
      <c r="T16" s="635"/>
      <c r="U16" s="545"/>
      <c r="V16" s="545"/>
      <c r="W16" s="546"/>
      <c r="X16" s="546"/>
      <c r="Y16" s="546"/>
      <c r="Z16" s="546"/>
      <c r="AA16" s="547"/>
      <c r="AB16" s="548"/>
      <c r="AC16" s="1984"/>
      <c r="AD16" s="549"/>
      <c r="AE16" s="550"/>
      <c r="AF16" s="550"/>
      <c r="AG16" s="551"/>
      <c r="AH16" s="552"/>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c r="BJ16" s="545"/>
      <c r="BK16" s="545"/>
      <c r="BL16" s="545"/>
      <c r="BM16" s="545"/>
      <c r="BN16" s="545"/>
      <c r="BO16" s="545"/>
      <c r="BP16" s="545"/>
      <c r="BQ16" s="545"/>
      <c r="BR16" s="545"/>
      <c r="BS16" s="545"/>
      <c r="BT16" s="545"/>
      <c r="BU16" s="545"/>
      <c r="BV16" s="546"/>
      <c r="BW16" s="546"/>
      <c r="BX16" s="546"/>
      <c r="BY16" s="546"/>
      <c r="BZ16" s="546"/>
      <c r="CA16" s="546"/>
      <c r="CB16" s="546"/>
      <c r="CC16" s="546"/>
      <c r="CD16" s="546"/>
      <c r="CE16" s="546"/>
    </row>
    <row r="17" spans="1:83" s="1796" customFormat="1" ht="22.5" hidden="1" customHeight="1">
      <c r="A17" s="553"/>
      <c r="B17" s="347"/>
      <c r="C17" s="342"/>
      <c r="D17" s="2161"/>
      <c r="E17" s="1990" t="s">
        <v>430</v>
      </c>
      <c r="F17" s="1990"/>
      <c r="G17" s="1990"/>
      <c r="H17" s="1990"/>
      <c r="I17" s="1990"/>
      <c r="J17" s="1990"/>
      <c r="K17" s="1990"/>
      <c r="L17" s="1990"/>
      <c r="M17" s="1990"/>
      <c r="N17" s="1990"/>
      <c r="O17" s="1990"/>
      <c r="P17" s="1990"/>
      <c r="Q17" s="483">
        <f>SUMIF(T18:T19,"i",Q18:Q19)</f>
        <v>0</v>
      </c>
      <c r="R17" s="933"/>
      <c r="S17" s="816" t="s">
        <v>431</v>
      </c>
      <c r="T17" s="636" t="s">
        <v>432</v>
      </c>
      <c r="U17" s="1961">
        <v>1</v>
      </c>
      <c r="V17" s="1961" t="str">
        <f>INDEX(B_FHD_FLAG_INDEX_1,1,MATCH(A14,B_FHD_FLAG_DIFFERENTIATION,0))</f>
        <v>отсутствует</v>
      </c>
      <c r="W17" s="347"/>
      <c r="X17" s="347"/>
      <c r="Y17" s="347"/>
      <c r="Z17" s="347"/>
      <c r="AA17" s="437"/>
      <c r="AB17" s="347"/>
      <c r="AC17" s="1984"/>
      <c r="AD17" s="549"/>
      <c r="AE17" s="347"/>
      <c r="AF17" s="34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347"/>
      <c r="BW17" s="347"/>
      <c r="BX17" s="347"/>
      <c r="BY17" s="347"/>
      <c r="BZ17" s="347"/>
      <c r="CA17" s="347"/>
      <c r="CB17" s="347"/>
      <c r="CC17" s="347"/>
      <c r="CD17" s="347"/>
      <c r="CE17" s="347"/>
    </row>
    <row r="18" spans="1:83" s="1796" customFormat="1" ht="11.25" hidden="1" customHeight="1">
      <c r="A18" s="554"/>
      <c r="B18" s="437"/>
      <c r="C18" s="437"/>
      <c r="D18" s="2161"/>
      <c r="E18" s="555"/>
      <c r="F18" s="555">
        <v>0</v>
      </c>
      <c r="G18" s="555"/>
      <c r="H18" s="555"/>
      <c r="I18" s="555"/>
      <c r="J18" s="555"/>
      <c r="K18" s="555"/>
      <c r="L18" s="555"/>
      <c r="M18" s="555"/>
      <c r="N18" s="555"/>
      <c r="O18" s="555"/>
      <c r="P18" s="555"/>
      <c r="Q18" s="555"/>
      <c r="R18" s="555"/>
      <c r="S18" s="556"/>
      <c r="T18" s="637"/>
      <c r="U18" s="1961"/>
      <c r="V18" s="1961"/>
      <c r="W18" s="437"/>
      <c r="X18" s="437"/>
      <c r="Y18" s="437"/>
      <c r="Z18" s="437"/>
      <c r="AA18" s="437"/>
      <c r="AB18" s="347"/>
      <c r="AC18" s="1984"/>
      <c r="AD18" s="549"/>
      <c r="AE18" s="347"/>
      <c r="AF18" s="34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c r="BW18" s="437"/>
      <c r="BX18" s="437"/>
      <c r="BY18" s="437"/>
      <c r="BZ18" s="437"/>
      <c r="CA18" s="437"/>
      <c r="CB18" s="437"/>
      <c r="CC18" s="437"/>
      <c r="CD18" s="437"/>
      <c r="CE18" s="437"/>
    </row>
    <row r="19" spans="1:83" s="1796" customFormat="1" ht="11.25" hidden="1" customHeight="1">
      <c r="A19" s="553"/>
      <c r="B19" s="347"/>
      <c r="C19" s="342"/>
      <c r="D19" s="2161"/>
      <c r="E19" s="569" t="s">
        <v>18</v>
      </c>
      <c r="F19" s="570" t="s">
        <v>18</v>
      </c>
      <c r="G19" s="570" t="s">
        <v>18</v>
      </c>
      <c r="H19" s="571" t="s">
        <v>18</v>
      </c>
      <c r="I19" s="571"/>
      <c r="J19" s="571"/>
      <c r="K19" s="571"/>
      <c r="L19" s="571"/>
      <c r="M19" s="571"/>
      <c r="N19" s="571"/>
      <c r="O19" s="571"/>
      <c r="P19" s="571"/>
      <c r="Q19" s="571"/>
      <c r="R19" s="572"/>
      <c r="S19" s="936"/>
      <c r="T19" s="637"/>
      <c r="U19" s="1961"/>
      <c r="V19" s="1961"/>
      <c r="W19" s="347"/>
      <c r="X19" s="347"/>
      <c r="Y19" s="347"/>
      <c r="Z19" s="347"/>
      <c r="AA19" s="437"/>
      <c r="AB19" s="347"/>
      <c r="AC19" s="1984"/>
      <c r="AD19" s="549"/>
      <c r="AE19" s="347"/>
      <c r="AF19" s="34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347"/>
      <c r="BW19" s="347"/>
      <c r="BX19" s="347"/>
      <c r="BY19" s="347"/>
      <c r="BZ19" s="347"/>
      <c r="CA19" s="347"/>
      <c r="CB19" s="347"/>
      <c r="CC19" s="347"/>
      <c r="CD19" s="347"/>
      <c r="CE19" s="347"/>
    </row>
    <row r="20" spans="1:83" s="1796" customFormat="1" ht="22.5" hidden="1" customHeight="1">
      <c r="A20" s="553"/>
      <c r="B20" s="347"/>
      <c r="C20" s="342"/>
      <c r="D20" s="2161"/>
      <c r="E20" s="1990" t="s">
        <v>435</v>
      </c>
      <c r="F20" s="1990"/>
      <c r="G20" s="1990"/>
      <c r="H20" s="1990"/>
      <c r="I20" s="1990"/>
      <c r="J20" s="1990"/>
      <c r="K20" s="1990"/>
      <c r="L20" s="1990"/>
      <c r="M20" s="1990"/>
      <c r="N20" s="1990"/>
      <c r="O20" s="1990"/>
      <c r="P20" s="1990"/>
      <c r="Q20" s="483">
        <f>SUMIF(T21:T22,"i",Q21:Q22)</f>
        <v>0</v>
      </c>
      <c r="R20" s="933"/>
      <c r="S20" s="628" t="s">
        <v>436</v>
      </c>
      <c r="T20" s="636" t="s">
        <v>432</v>
      </c>
      <c r="U20" s="1961">
        <v>2</v>
      </c>
      <c r="V20" s="1961" t="str">
        <f>INDEX(B_FHD_FLAG_INDEX_2,1,MATCH(A14,B_FHD_FLAG_DIFFERENTIATION,0))</f>
        <v>отсутствует</v>
      </c>
      <c r="W20" s="347"/>
      <c r="X20" s="347"/>
      <c r="Y20" s="347"/>
      <c r="Z20" s="347"/>
      <c r="AA20" s="437"/>
      <c r="AB20" s="347"/>
      <c r="AC20" s="625"/>
      <c r="AD20" s="549"/>
      <c r="AE20" s="347"/>
      <c r="AF20" s="34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347"/>
      <c r="BW20" s="347"/>
      <c r="BX20" s="347"/>
      <c r="BY20" s="347"/>
      <c r="BZ20" s="347"/>
      <c r="CA20" s="347"/>
      <c r="CB20" s="347"/>
      <c r="CC20" s="347"/>
      <c r="CD20" s="347"/>
      <c r="CE20" s="347"/>
    </row>
    <row r="21" spans="1:83" s="1796" customFormat="1" ht="11.25" hidden="1" customHeight="1">
      <c r="A21" s="627"/>
      <c r="B21" s="437"/>
      <c r="C21" s="437"/>
      <c r="D21" s="2161"/>
      <c r="E21" s="555"/>
      <c r="F21" s="555">
        <v>0</v>
      </c>
      <c r="G21" s="555"/>
      <c r="H21" s="555"/>
      <c r="I21" s="555"/>
      <c r="J21" s="555"/>
      <c r="K21" s="555"/>
      <c r="L21" s="555"/>
      <c r="M21" s="555"/>
      <c r="N21" s="555"/>
      <c r="O21" s="555"/>
      <c r="P21" s="555"/>
      <c r="Q21" s="555"/>
      <c r="R21" s="555"/>
      <c r="S21" s="556"/>
      <c r="T21" s="637"/>
      <c r="U21" s="1961"/>
      <c r="V21" s="1961"/>
      <c r="W21" s="437"/>
      <c r="X21" s="437"/>
      <c r="Y21" s="437"/>
      <c r="Z21" s="437"/>
      <c r="AA21" s="437"/>
      <c r="AB21" s="347"/>
      <c r="AC21" s="625"/>
      <c r="AD21" s="549"/>
      <c r="AE21" s="347"/>
      <c r="AF21" s="34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row>
    <row r="22" spans="1:83" s="1796" customFormat="1" ht="11.25" hidden="1" customHeight="1">
      <c r="A22" s="553"/>
      <c r="B22" s="347"/>
      <c r="C22" s="342"/>
      <c r="D22" s="2162"/>
      <c r="E22" s="569" t="s">
        <v>18</v>
      </c>
      <c r="F22" s="570" t="s">
        <v>18</v>
      </c>
      <c r="G22" s="570" t="s">
        <v>18</v>
      </c>
      <c r="H22" s="571" t="s">
        <v>18</v>
      </c>
      <c r="I22" s="571"/>
      <c r="J22" s="571"/>
      <c r="K22" s="571"/>
      <c r="L22" s="571"/>
      <c r="M22" s="571"/>
      <c r="N22" s="571"/>
      <c r="O22" s="571"/>
      <c r="P22" s="571"/>
      <c r="Q22" s="571"/>
      <c r="R22" s="572"/>
      <c r="S22" s="936"/>
      <c r="T22" s="637"/>
      <c r="U22" s="1961"/>
      <c r="V22" s="1961"/>
      <c r="W22" s="347"/>
      <c r="X22" s="347"/>
      <c r="Y22" s="347"/>
      <c r="Z22" s="347"/>
      <c r="AA22" s="437"/>
      <c r="AB22" s="347"/>
      <c r="AC22" s="625"/>
      <c r="AD22" s="549"/>
      <c r="AE22" s="347"/>
      <c r="AF22" s="34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347"/>
      <c r="BW22" s="347"/>
      <c r="BX22" s="347"/>
      <c r="BY22" s="347"/>
      <c r="BZ22" s="347"/>
      <c r="CA22" s="347"/>
      <c r="CB22" s="347"/>
      <c r="CC22" s="347"/>
      <c r="CD22" s="347"/>
      <c r="CE22" s="347"/>
    </row>
    <row r="23" spans="1:83" ht="18.75" customHeight="1">
      <c r="D23" s="963"/>
      <c r="E23" s="963"/>
      <c r="F23" s="963"/>
      <c r="G23" s="963"/>
      <c r="H23" s="963"/>
      <c r="I23" s="963"/>
      <c r="J23" s="963"/>
      <c r="K23" s="963"/>
      <c r="L23" s="963"/>
      <c r="M23" s="963"/>
      <c r="N23" s="963"/>
      <c r="O23" s="963"/>
      <c r="P23" s="963"/>
      <c r="Q23" s="963"/>
      <c r="R23" s="963"/>
      <c r="S23" s="963"/>
      <c r="T23" s="256"/>
    </row>
    <row r="24" spans="1:83" ht="11.25" customHeight="1">
      <c r="D24" s="435"/>
    </row>
    <row r="25" spans="1:83" ht="11.25" customHeight="1">
      <c r="D25" s="574"/>
      <c r="E25" s="574"/>
      <c r="F25" s="574"/>
      <c r="G25" s="575"/>
    </row>
    <row r="27" spans="1:83" ht="11.25" customHeight="1">
      <c r="D27" s="576"/>
      <c r="E27" s="2163"/>
      <c r="F27" s="2163"/>
      <c r="G27" s="2163"/>
      <c r="H27" s="2163"/>
      <c r="I27" s="2163"/>
      <c r="J27" s="2163"/>
      <c r="K27" s="2163"/>
      <c r="L27" s="2163"/>
      <c r="M27" s="2163"/>
      <c r="N27" s="2163"/>
      <c r="O27" s="2163"/>
      <c r="P27" s="2163"/>
      <c r="Q27" s="2163"/>
      <c r="R27" s="2163"/>
    </row>
    <row r="28" spans="1:83" ht="11.25" customHeight="1">
      <c r="F28" s="677"/>
      <c r="G28" s="677"/>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903" hidden="1" customWidth="1"/>
    <col min="2" max="2" width="16.796875" style="1292" hidden="1" customWidth="1"/>
    <col min="3" max="3" width="5.59765625" style="1567" hidden="1" customWidth="1"/>
    <col min="4" max="4" width="3.69921875" style="1560" customWidth="1"/>
    <col min="5" max="5" width="7.69921875" style="1560" customWidth="1"/>
    <col min="6" max="6" width="56.09765625" style="1560" customWidth="1"/>
    <col min="7" max="7" width="10.3984375" style="1560" customWidth="1"/>
    <col min="8" max="8" width="40.69921875" style="1560" hidden="1" customWidth="1"/>
    <col min="9" max="9" width="40.69921875" style="1560" customWidth="1"/>
    <col min="10" max="10" width="102.796875" style="1560" customWidth="1"/>
    <col min="11" max="11" width="9.69921875" style="1292" customWidth="1"/>
    <col min="12" max="12" width="5.296875" style="1567" customWidth="1"/>
    <col min="13" max="13" width="3.69921875" style="1567" customWidth="1"/>
    <col min="14" max="17" width="3.69921875" style="1292" customWidth="1"/>
    <col min="18" max="18" width="10.59765625" style="1567" customWidth="1"/>
    <col min="19" max="19" width="34.69921875" style="1292" customWidth="1"/>
    <col min="20" max="20" width="9.3984375" style="1292" customWidth="1"/>
    <col min="21" max="21" width="9.09765625" style="656"/>
    <col min="22" max="26" width="9.09765625" style="1292"/>
    <col min="27" max="31" width="9.09765625" style="1557"/>
  </cols>
  <sheetData>
    <row r="1" spans="1:31" s="1292" customFormat="1" ht="11.25" hidden="1" customHeight="1">
      <c r="A1" s="903"/>
      <c r="C1" s="1561"/>
      <c r="D1" s="462"/>
      <c r="H1" s="1070">
        <v>4</v>
      </c>
      <c r="I1" s="1070">
        <v>4</v>
      </c>
      <c r="L1" s="1561"/>
      <c r="M1" s="1561"/>
      <c r="R1" s="1561"/>
    </row>
    <row r="2" spans="1:31" s="1292" customFormat="1" ht="22.5" hidden="1" customHeight="1">
      <c r="A2" s="903"/>
      <c r="C2" s="1561"/>
      <c r="D2" s="463"/>
      <c r="E2" s="1562"/>
      <c r="F2" s="465"/>
      <c r="G2" s="1564" t="s">
        <v>1730</v>
      </c>
      <c r="H2" s="466"/>
      <c r="I2" s="466"/>
      <c r="J2" s="467" t="s">
        <v>1778</v>
      </c>
      <c r="K2" s="468"/>
      <c r="L2" s="1561"/>
      <c r="M2" s="1561"/>
      <c r="R2" s="1561"/>
      <c r="U2" s="469"/>
      <c r="AA2" s="1557"/>
      <c r="AB2" s="1557"/>
      <c r="AC2" s="1557"/>
      <c r="AD2" s="1557"/>
      <c r="AE2" s="1557"/>
    </row>
    <row r="3" spans="1:31" ht="11.25" hidden="1" customHeight="1"/>
    <row r="4" spans="1:31" s="1557" customFormat="1" ht="11.25" hidden="1" customHeight="1">
      <c r="A4" s="903"/>
      <c r="B4" s="1070"/>
      <c r="C4" s="1561"/>
      <c r="D4" s="285"/>
      <c r="J4" s="1557">
        <v>4</v>
      </c>
      <c r="K4" s="1070"/>
      <c r="L4" s="1561"/>
      <c r="M4" s="1561"/>
      <c r="N4" s="1070"/>
      <c r="O4" s="1070"/>
      <c r="P4" s="1070"/>
      <c r="Q4" s="1070"/>
      <c r="R4" s="1561"/>
      <c r="S4" s="1070"/>
      <c r="T4" s="1070"/>
      <c r="U4" s="469"/>
      <c r="V4" s="1070"/>
      <c r="W4" s="1070"/>
      <c r="X4" s="1070"/>
      <c r="Y4" s="1070"/>
      <c r="Z4" s="1070"/>
    </row>
    <row r="6" spans="1:31" ht="24" customHeight="1">
      <c r="E6" s="1833" t="s">
        <v>1779</v>
      </c>
      <c r="F6" s="1834"/>
      <c r="G6" s="1834"/>
      <c r="H6" s="1834"/>
      <c r="I6" s="1835"/>
      <c r="J6" s="481"/>
    </row>
    <row r="7" spans="1:31" ht="24" customHeight="1">
      <c r="E7" s="1940" t="str">
        <f>IF(org=0,"Не определено",org)</f>
        <v>НАО "СВЕЗА Мантурово"</v>
      </c>
      <c r="F7" s="1941"/>
      <c r="G7" s="1941"/>
      <c r="H7" s="1941"/>
      <c r="I7" s="1942"/>
    </row>
    <row r="8" spans="1:31" ht="11.25" customHeight="1">
      <c r="E8" s="1047"/>
      <c r="F8" s="1047"/>
      <c r="G8" s="1047"/>
      <c r="H8" s="1047"/>
      <c r="I8" s="1047"/>
    </row>
    <row r="9" spans="1:31" s="1567" customFormat="1" ht="0.75" customHeight="1">
      <c r="A9" s="1077"/>
      <c r="H9" s="807"/>
      <c r="I9" s="807" t="s">
        <v>113</v>
      </c>
    </row>
    <row r="10" spans="1:31" ht="11.25" customHeight="1">
      <c r="E10" s="630"/>
      <c r="F10" s="2130" t="s">
        <v>101</v>
      </c>
      <c r="G10" s="2131"/>
      <c r="H10" s="1482" t="str">
        <f>IF(H9="","",INDEX(DIFFERENTIATION_UNMERGE_VD,MATCH(H9,DIFFERENTIATION_ID_DIFF,0)))</f>
        <v/>
      </c>
      <c r="I10" s="1482">
        <f>IF(I9="","",INDEX(DIFFERENTIATION_UNMERGE_VD,MATCH(I9,DIFFERENTIATION_ID_DIFF,0)))</f>
        <v>0</v>
      </c>
      <c r="J10" s="1840"/>
    </row>
    <row r="11" spans="1:31" ht="11.25" customHeight="1">
      <c r="E11" s="630"/>
      <c r="F11" s="2130" t="s">
        <v>428</v>
      </c>
      <c r="G11" s="2131"/>
      <c r="H11" s="1482" t="str">
        <f>IF(H9="","",INDEX(DIFFERENTIATION_UNMERGE_AREA,MATCH(H9,DIFFERENTIATION_ID_DIFF,0)))</f>
        <v/>
      </c>
      <c r="I11" s="1482" t="str">
        <f>IF(I9="","",INDEX(DIFFERENTIATION_UNMERGE_AREA,MATCH(I9,DIFFERENTIATION_ID_DIFF,0)))</f>
        <v/>
      </c>
      <c r="J11" s="1840"/>
    </row>
    <row r="12" spans="1:31" ht="11.25" hidden="1" customHeight="1">
      <c r="E12" s="1587"/>
      <c r="F12" s="2164" t="s">
        <v>429</v>
      </c>
      <c r="G12" s="2165"/>
      <c r="H12" s="1588" t="str">
        <f>IF(H9="","",INDEX(DIFFERENTIATION_UNMERGE_SYSTEM,MATCH(H9,DIFFERENTIATION_ID_DIFF,0)))</f>
        <v/>
      </c>
      <c r="I12" s="1588" t="str">
        <f>IF(I9="","",INDEX(DIFFERENTIATION_UNMERGE_SYSTEM,MATCH(I9,DIFFERENTIATION_ID_DIFF,0)))</f>
        <v>без дифференциации</v>
      </c>
      <c r="J12" s="1840"/>
    </row>
    <row r="13" spans="1:31" ht="11.25" customHeight="1">
      <c r="E13" s="2132" t="s">
        <v>282</v>
      </c>
      <c r="F13" s="2133"/>
      <c r="G13" s="2133"/>
      <c r="H13" s="1481"/>
      <c r="I13" s="1481"/>
      <c r="J13" s="1840"/>
    </row>
    <row r="14" spans="1:31" ht="22.5" customHeight="1">
      <c r="E14" s="1564" t="s">
        <v>87</v>
      </c>
      <c r="F14" s="1559" t="s">
        <v>284</v>
      </c>
      <c r="G14" s="1559" t="s">
        <v>1626</v>
      </c>
      <c r="H14" s="1559" t="s">
        <v>285</v>
      </c>
      <c r="I14" s="1559" t="s">
        <v>285</v>
      </c>
      <c r="J14" s="1840"/>
    </row>
    <row r="15" spans="1:31" ht="18.75" customHeight="1">
      <c r="D15" s="1563"/>
      <c r="E15" s="1555" t="s">
        <v>105</v>
      </c>
      <c r="F15" s="626" t="s">
        <v>1780</v>
      </c>
      <c r="G15" s="1571" t="s">
        <v>1730</v>
      </c>
      <c r="H15" s="482"/>
      <c r="I15" s="482"/>
      <c r="J15" s="204" t="s">
        <v>1781</v>
      </c>
      <c r="K15" s="468" t="s">
        <v>1782</v>
      </c>
    </row>
    <row r="16" spans="1:31" ht="33.75" customHeight="1">
      <c r="D16" s="1563"/>
      <c r="E16" s="1555" t="s">
        <v>106</v>
      </c>
      <c r="F16" s="626" t="s">
        <v>1783</v>
      </c>
      <c r="G16" s="1571" t="s">
        <v>1730</v>
      </c>
      <c r="H16" s="483">
        <f>SUM(H17,H20:H32)</f>
        <v>0</v>
      </c>
      <c r="I16" s="483">
        <f>SUM(I17,I20:I32)</f>
        <v>0</v>
      </c>
      <c r="J16" s="204" t="s">
        <v>1784</v>
      </c>
      <c r="K16" s="468" t="s">
        <v>1782</v>
      </c>
    </row>
    <row r="17" spans="1:31" ht="18.75" customHeight="1">
      <c r="D17" s="1563"/>
      <c r="E17" s="1589" t="s">
        <v>466</v>
      </c>
      <c r="F17" s="870" t="s">
        <v>1785</v>
      </c>
      <c r="G17" s="1568" t="s">
        <v>1730</v>
      </c>
      <c r="H17" s="482"/>
      <c r="I17" s="482"/>
      <c r="J17" s="204" t="s">
        <v>1786</v>
      </c>
      <c r="K17" s="468"/>
    </row>
    <row r="18" spans="1:31" ht="22.5" customHeight="1">
      <c r="D18" s="1563"/>
      <c r="E18" s="1589" t="s">
        <v>468</v>
      </c>
      <c r="F18" s="1575" t="s">
        <v>1787</v>
      </c>
      <c r="G18" s="1568" t="s">
        <v>1730</v>
      </c>
      <c r="H18" s="482"/>
      <c r="I18" s="482"/>
      <c r="J18" s="204" t="s">
        <v>1788</v>
      </c>
      <c r="K18" s="468"/>
    </row>
    <row r="19" spans="1:31" ht="33.75" customHeight="1">
      <c r="D19" s="1563"/>
      <c r="E19" s="1589" t="s">
        <v>1789</v>
      </c>
      <c r="F19" s="1575" t="s">
        <v>1790</v>
      </c>
      <c r="G19" s="1568" t="s">
        <v>1730</v>
      </c>
      <c r="H19" s="482"/>
      <c r="I19" s="482"/>
      <c r="J19" s="204"/>
      <c r="K19" s="468"/>
    </row>
    <row r="20" spans="1:31" ht="18.75" customHeight="1">
      <c r="D20" s="1563"/>
      <c r="E20" s="1589" t="s">
        <v>290</v>
      </c>
      <c r="F20" s="870" t="s">
        <v>1791</v>
      </c>
      <c r="G20" s="1568" t="s">
        <v>1730</v>
      </c>
      <c r="H20" s="482"/>
      <c r="I20" s="482"/>
      <c r="J20" s="204" t="s">
        <v>1792</v>
      </c>
      <c r="K20" s="468"/>
    </row>
    <row r="21" spans="1:31" ht="18.75" customHeight="1">
      <c r="D21" s="1563"/>
      <c r="E21" s="1589" t="s">
        <v>1384</v>
      </c>
      <c r="F21" s="1575" t="s">
        <v>1793</v>
      </c>
      <c r="G21" s="1568" t="s">
        <v>1730</v>
      </c>
      <c r="H21" s="482"/>
      <c r="I21" s="482"/>
      <c r="J21" s="204"/>
      <c r="K21" s="468"/>
    </row>
    <row r="22" spans="1:31" ht="18.75" customHeight="1">
      <c r="D22" s="1563"/>
      <c r="E22" s="1589" t="s">
        <v>1389</v>
      </c>
      <c r="F22" s="1575" t="s">
        <v>1794</v>
      </c>
      <c r="G22" s="1568" t="s">
        <v>1730</v>
      </c>
      <c r="H22" s="482"/>
      <c r="I22" s="482"/>
      <c r="J22" s="204"/>
      <c r="K22" s="468"/>
    </row>
    <row r="23" spans="1:31" ht="22.5" customHeight="1">
      <c r="D23" s="1563"/>
      <c r="E23" s="1589" t="s">
        <v>293</v>
      </c>
      <c r="F23" s="870" t="s">
        <v>1795</v>
      </c>
      <c r="G23" s="1568" t="s">
        <v>1730</v>
      </c>
      <c r="H23" s="482"/>
      <c r="I23" s="482"/>
      <c r="J23" s="204" t="s">
        <v>1796</v>
      </c>
      <c r="K23" s="468"/>
    </row>
    <row r="24" spans="1:31" ht="18.75" customHeight="1">
      <c r="D24" s="1563"/>
      <c r="E24" s="1589" t="s">
        <v>1383</v>
      </c>
      <c r="F24" s="1575" t="s">
        <v>1797</v>
      </c>
      <c r="G24" s="1568" t="s">
        <v>1730</v>
      </c>
      <c r="H24" s="482"/>
      <c r="I24" s="482"/>
      <c r="J24" s="204"/>
      <c r="K24" s="468"/>
    </row>
    <row r="25" spans="1:31" ht="33.75" customHeight="1">
      <c r="D25" s="1563"/>
      <c r="E25" s="1589" t="s">
        <v>1388</v>
      </c>
      <c r="F25" s="1575" t="s">
        <v>1798</v>
      </c>
      <c r="G25" s="1568" t="s">
        <v>1730</v>
      </c>
      <c r="H25" s="482"/>
      <c r="I25" s="482"/>
      <c r="J25" s="204"/>
      <c r="K25" s="468"/>
    </row>
    <row r="26" spans="1:31" ht="22.5" customHeight="1">
      <c r="D26" s="1563"/>
      <c r="E26" s="1589" t="s">
        <v>1378</v>
      </c>
      <c r="F26" s="870" t="s">
        <v>1799</v>
      </c>
      <c r="G26" s="1568" t="s">
        <v>1730</v>
      </c>
      <c r="H26" s="482"/>
      <c r="I26" s="482"/>
      <c r="J26" s="204" t="s">
        <v>1800</v>
      </c>
      <c r="K26" s="468"/>
    </row>
    <row r="27" spans="1:31" ht="18.75" customHeight="1">
      <c r="D27" s="1563"/>
      <c r="E27" s="1600" t="s">
        <v>1399</v>
      </c>
      <c r="F27" s="1575" t="s">
        <v>1801</v>
      </c>
      <c r="G27" s="1579" t="s">
        <v>1730</v>
      </c>
      <c r="H27" s="1601"/>
      <c r="I27" s="1601"/>
      <c r="J27" s="204"/>
      <c r="K27" s="468"/>
    </row>
    <row r="28" spans="1:31" ht="18.75" customHeight="1">
      <c r="D28" s="1563"/>
      <c r="E28" s="1600" t="s">
        <v>1403</v>
      </c>
      <c r="F28" s="1575" t="s">
        <v>1802</v>
      </c>
      <c r="G28" s="1579" t="s">
        <v>1730</v>
      </c>
      <c r="H28" s="1601"/>
      <c r="I28" s="1601"/>
      <c r="J28" s="204"/>
      <c r="K28" s="468"/>
    </row>
    <row r="29" spans="1:31" ht="18.75" customHeight="1">
      <c r="D29" s="1563"/>
      <c r="E29" s="1600" t="s">
        <v>1380</v>
      </c>
      <c r="F29" s="870" t="s">
        <v>1803</v>
      </c>
      <c r="G29" s="1579" t="s">
        <v>1730</v>
      </c>
      <c r="H29" s="1601"/>
      <c r="I29" s="1601"/>
      <c r="J29" s="204"/>
      <c r="K29" s="468"/>
    </row>
    <row r="30" spans="1:31" ht="18.75" customHeight="1">
      <c r="D30" s="1563"/>
      <c r="E30" s="1600" t="s">
        <v>1394</v>
      </c>
      <c r="F30" s="870" t="s">
        <v>1804</v>
      </c>
      <c r="G30" s="1579" t="s">
        <v>1730</v>
      </c>
      <c r="H30" s="1601"/>
      <c r="I30" s="1601"/>
      <c r="J30" s="204"/>
      <c r="K30" s="468"/>
    </row>
    <row r="31" spans="1:31" ht="18.75" customHeight="1">
      <c r="D31" s="1563"/>
      <c r="E31" s="1600" t="s">
        <v>1405</v>
      </c>
      <c r="F31" s="870" t="s">
        <v>1805</v>
      </c>
      <c r="G31" s="1579" t="s">
        <v>1730</v>
      </c>
      <c r="H31" s="1601"/>
      <c r="I31" s="1601"/>
      <c r="J31" s="204"/>
      <c r="K31" s="468"/>
    </row>
    <row r="32" spans="1:31" s="1292" customFormat="1" ht="22.5" customHeight="1">
      <c r="A32" s="903"/>
      <c r="C32" s="1561"/>
      <c r="D32" s="1563"/>
      <c r="E32" s="1600" t="s">
        <v>1416</v>
      </c>
      <c r="F32" s="870" t="s">
        <v>1806</v>
      </c>
      <c r="G32" s="1569" t="s">
        <v>1730</v>
      </c>
      <c r="H32" s="504">
        <f>SUM(H33:H34)</f>
        <v>0</v>
      </c>
      <c r="I32" s="504">
        <f>SUM(I33:I34)</f>
        <v>0</v>
      </c>
      <c r="J32" s="204" t="s">
        <v>1807</v>
      </c>
      <c r="K32" s="468"/>
      <c r="L32" s="1561"/>
      <c r="M32" s="1561"/>
      <c r="R32" s="1561"/>
      <c r="U32" s="469"/>
      <c r="AA32" s="1557"/>
      <c r="AB32" s="1557"/>
      <c r="AC32" s="1557"/>
      <c r="AD32" s="1557"/>
      <c r="AE32" s="1557"/>
    </row>
    <row r="33" spans="1:31" s="1567" customFormat="1" ht="0.75" customHeight="1">
      <c r="A33" s="1077"/>
      <c r="D33" s="473"/>
      <c r="E33" s="720" t="str">
        <f>E32&amp;".0"</f>
        <v>2.8.0</v>
      </c>
      <c r="F33" s="907"/>
      <c r="G33" s="476"/>
      <c r="H33" s="908"/>
      <c r="I33" s="908"/>
      <c r="J33" s="909"/>
    </row>
    <row r="34" spans="1:31" s="1292" customFormat="1" ht="18.75" customHeight="1">
      <c r="A34" s="903"/>
      <c r="C34" s="1561"/>
      <c r="D34" s="1558"/>
      <c r="E34" s="495"/>
      <c r="F34" s="1591" t="s">
        <v>1748</v>
      </c>
      <c r="G34" s="497"/>
      <c r="H34" s="498"/>
      <c r="I34" s="498"/>
      <c r="J34" s="215" t="s">
        <v>1808</v>
      </c>
      <c r="K34" s="468"/>
      <c r="L34" s="1561"/>
      <c r="M34" s="1561"/>
      <c r="R34" s="1561"/>
      <c r="U34" s="469"/>
      <c r="AA34" s="1557"/>
      <c r="AB34" s="1557"/>
      <c r="AC34" s="1557"/>
      <c r="AD34" s="1557"/>
      <c r="AE34" s="1557"/>
    </row>
    <row r="35" spans="1:31" ht="56.25" customHeight="1">
      <c r="D35" s="1563"/>
      <c r="E35" s="1600" t="s">
        <v>1424</v>
      </c>
      <c r="F35" s="870" t="s">
        <v>1809</v>
      </c>
      <c r="G35" s="1579" t="s">
        <v>1730</v>
      </c>
      <c r="H35" s="1601"/>
      <c r="I35" s="1601"/>
      <c r="J35" s="204" t="s">
        <v>1810</v>
      </c>
      <c r="K35" s="468"/>
    </row>
    <row r="36" spans="1:31" s="1292" customFormat="1" ht="22.5" customHeight="1">
      <c r="A36" s="905" t="s">
        <v>1749</v>
      </c>
      <c r="C36" s="1561"/>
      <c r="D36" s="1563"/>
      <c r="E36" s="1589" t="s">
        <v>89</v>
      </c>
      <c r="F36" s="626" t="s">
        <v>1811</v>
      </c>
      <c r="G36" s="1568" t="s">
        <v>1730</v>
      </c>
      <c r="H36" s="482"/>
      <c r="I36" s="482"/>
      <c r="J36" s="204" t="s">
        <v>1476</v>
      </c>
      <c r="K36" s="468"/>
      <c r="L36" s="1561"/>
      <c r="M36" s="1561"/>
      <c r="R36" s="1561"/>
      <c r="U36" s="469"/>
      <c r="AA36" s="1557"/>
      <c r="AB36" s="1557"/>
      <c r="AC36" s="1557"/>
      <c r="AD36" s="1557"/>
      <c r="AE36" s="1557"/>
    </row>
    <row r="37" spans="1:31" s="1292" customFormat="1" ht="22.5" customHeight="1">
      <c r="A37" s="905"/>
      <c r="C37" s="1561"/>
      <c r="D37" s="1563"/>
      <c r="E37" s="1589" t="s">
        <v>311</v>
      </c>
      <c r="F37" s="870" t="s">
        <v>1812</v>
      </c>
      <c r="G37" s="1579"/>
      <c r="H37" s="482"/>
      <c r="I37" s="482"/>
      <c r="J37" s="204"/>
      <c r="K37" s="468"/>
      <c r="L37" s="1561"/>
      <c r="M37" s="1561"/>
      <c r="R37" s="1561"/>
      <c r="U37" s="469"/>
      <c r="AA37" s="1557"/>
      <c r="AB37" s="1557"/>
      <c r="AC37" s="1557"/>
      <c r="AD37" s="1557"/>
      <c r="AE37" s="1557"/>
    </row>
    <row r="38" spans="1:31" s="1292" customFormat="1" ht="18.75" customHeight="1">
      <c r="A38" s="903"/>
      <c r="C38" s="1561"/>
      <c r="D38" s="500"/>
      <c r="E38" s="1589" t="s">
        <v>90</v>
      </c>
      <c r="F38" s="626" t="s">
        <v>1479</v>
      </c>
      <c r="G38" s="1568" t="s">
        <v>1730</v>
      </c>
      <c r="H38" s="482"/>
      <c r="I38" s="482"/>
      <c r="J38" s="204" t="s">
        <v>1480</v>
      </c>
      <c r="K38" s="468"/>
      <c r="L38" s="1561"/>
      <c r="M38" s="1561"/>
      <c r="R38" s="1561"/>
      <c r="U38" s="469"/>
      <c r="AA38" s="1557"/>
      <c r="AB38" s="1557"/>
      <c r="AC38" s="1557"/>
      <c r="AD38" s="1557"/>
      <c r="AE38" s="1557"/>
    </row>
    <row r="39" spans="1:31" s="1292" customFormat="1" ht="22.5" customHeight="1">
      <c r="A39" s="903"/>
      <c r="C39" s="1561"/>
      <c r="D39" s="500"/>
      <c r="E39" s="1589" t="s">
        <v>1477</v>
      </c>
      <c r="F39" s="870" t="s">
        <v>1813</v>
      </c>
      <c r="G39" s="1579" t="s">
        <v>1730</v>
      </c>
      <c r="H39" s="482"/>
      <c r="I39" s="482"/>
      <c r="J39" s="204" t="s">
        <v>1814</v>
      </c>
      <c r="K39" s="468"/>
      <c r="L39" s="1561"/>
      <c r="M39" s="1561"/>
      <c r="R39" s="1561"/>
      <c r="U39" s="469"/>
      <c r="AA39" s="1557"/>
      <c r="AB39" s="1557"/>
      <c r="AC39" s="1557"/>
      <c r="AD39" s="1557"/>
      <c r="AE39" s="1557"/>
    </row>
    <row r="40" spans="1:31" s="1292" customFormat="1" ht="22.5" customHeight="1">
      <c r="A40" s="903"/>
      <c r="C40" s="1561"/>
      <c r="D40" s="1563"/>
      <c r="E40" s="1589" t="s">
        <v>1485</v>
      </c>
      <c r="F40" s="1575" t="s">
        <v>1815</v>
      </c>
      <c r="G40" s="1568" t="s">
        <v>1730</v>
      </c>
      <c r="H40" s="482"/>
      <c r="I40" s="482"/>
      <c r="J40" s="204" t="s">
        <v>1488</v>
      </c>
      <c r="K40" s="468"/>
      <c r="L40" s="1561"/>
      <c r="M40" s="1561"/>
      <c r="R40" s="1561"/>
      <c r="U40" s="469"/>
      <c r="AA40" s="1557"/>
      <c r="AB40" s="1557"/>
      <c r="AC40" s="1557"/>
      <c r="AD40" s="1557"/>
      <c r="AE40" s="1557"/>
    </row>
    <row r="41" spans="1:31" s="1292" customFormat="1" ht="22.5" customHeight="1">
      <c r="A41" s="903"/>
      <c r="C41" s="1561"/>
      <c r="D41" s="1563"/>
      <c r="E41" s="1589" t="s">
        <v>1490</v>
      </c>
      <c r="F41" s="1575" t="s">
        <v>1816</v>
      </c>
      <c r="G41" s="1568" t="s">
        <v>1730</v>
      </c>
      <c r="H41" s="482"/>
      <c r="I41" s="482"/>
      <c r="J41" s="204" t="s">
        <v>1493</v>
      </c>
      <c r="K41" s="468"/>
      <c r="L41" s="1561"/>
      <c r="M41" s="1561"/>
      <c r="R41" s="1561"/>
      <c r="U41" s="469"/>
      <c r="AA41" s="1557"/>
      <c r="AB41" s="1557"/>
      <c r="AC41" s="1557"/>
      <c r="AD41" s="1557"/>
      <c r="AE41" s="1557"/>
    </row>
    <row r="42" spans="1:31" s="1292" customFormat="1" ht="22.5" customHeight="1">
      <c r="A42" s="903"/>
      <c r="C42" s="1561"/>
      <c r="D42" s="1563"/>
      <c r="E42" s="1589" t="s">
        <v>1817</v>
      </c>
      <c r="F42" s="1575" t="s">
        <v>1818</v>
      </c>
      <c r="G42" s="1568" t="s">
        <v>1730</v>
      </c>
      <c r="H42" s="482"/>
      <c r="I42" s="482"/>
      <c r="J42" s="204" t="s">
        <v>1819</v>
      </c>
      <c r="K42" s="468"/>
      <c r="L42" s="1561"/>
      <c r="M42" s="1561"/>
      <c r="R42" s="1561"/>
      <c r="U42" s="469"/>
      <c r="AA42" s="1557"/>
      <c r="AB42" s="1557"/>
      <c r="AC42" s="1557"/>
      <c r="AD42" s="1557"/>
      <c r="AE42" s="1557"/>
    </row>
    <row r="43" spans="1:31" s="1292" customFormat="1" ht="33.75" customHeight="1">
      <c r="A43" s="903"/>
      <c r="C43" s="1561" t="s">
        <v>1757</v>
      </c>
      <c r="D43" s="1563"/>
      <c r="E43" s="1589" t="s">
        <v>107</v>
      </c>
      <c r="F43" s="626" t="s">
        <v>1500</v>
      </c>
      <c r="G43" s="1571" t="s">
        <v>1820</v>
      </c>
      <c r="H43" s="331"/>
      <c r="I43" s="331"/>
      <c r="J43" s="204" t="s">
        <v>1821</v>
      </c>
      <c r="K43" s="468"/>
      <c r="L43" s="1561"/>
      <c r="M43" s="1561"/>
      <c r="R43" s="1561"/>
      <c r="U43" s="469"/>
      <c r="AA43" s="1557"/>
      <c r="AB43" s="1557"/>
      <c r="AC43" s="1557"/>
      <c r="AD43" s="1557"/>
      <c r="AE43" s="1557"/>
    </row>
    <row r="44" spans="1:31" s="1292" customFormat="1" ht="22.5" customHeight="1">
      <c r="A44" s="903"/>
      <c r="C44" s="1561"/>
      <c r="D44" s="1563"/>
      <c r="E44" s="1589" t="s">
        <v>91</v>
      </c>
      <c r="F44" s="626" t="s">
        <v>1822</v>
      </c>
      <c r="G44" s="1568" t="s">
        <v>1823</v>
      </c>
      <c r="H44" s="470"/>
      <c r="I44" s="470"/>
      <c r="J44" s="204" t="s">
        <v>1824</v>
      </c>
      <c r="K44" s="468"/>
      <c r="L44" s="1561"/>
      <c r="M44" s="1561"/>
      <c r="R44" s="1561"/>
      <c r="U44" s="469"/>
      <c r="AA44" s="1557"/>
      <c r="AB44" s="1557"/>
      <c r="AC44" s="1557"/>
      <c r="AD44" s="1557"/>
      <c r="AE44" s="1557"/>
    </row>
    <row r="45" spans="1:31" s="1292" customFormat="1" ht="22.5" customHeight="1">
      <c r="A45" s="903"/>
      <c r="C45" s="1561"/>
      <c r="D45" s="1563"/>
      <c r="E45" s="1589" t="s">
        <v>92</v>
      </c>
      <c r="F45" s="626" t="s">
        <v>1825</v>
      </c>
      <c r="G45" s="1579" t="s">
        <v>1826</v>
      </c>
      <c r="H45" s="470"/>
      <c r="I45" s="470"/>
      <c r="J45" s="204" t="s">
        <v>1827</v>
      </c>
      <c r="K45" s="468"/>
      <c r="L45" s="1561"/>
      <c r="M45" s="1561"/>
      <c r="R45" s="1561"/>
      <c r="U45" s="469"/>
      <c r="AA45" s="1557"/>
      <c r="AB45" s="1557"/>
      <c r="AC45" s="1557"/>
      <c r="AD45" s="1557"/>
      <c r="AE45" s="1557"/>
    </row>
    <row r="46" spans="1:31" s="1292" customFormat="1" ht="18.75" customHeight="1">
      <c r="A46" s="903"/>
      <c r="C46" s="1561"/>
      <c r="D46" s="1563"/>
      <c r="E46" s="1589" t="s">
        <v>108</v>
      </c>
      <c r="F46" s="626" t="s">
        <v>1828</v>
      </c>
      <c r="G46" s="1568" t="s">
        <v>1759</v>
      </c>
      <c r="H46" s="502"/>
      <c r="I46" s="502"/>
      <c r="J46" s="204"/>
      <c r="K46" s="468"/>
      <c r="L46" s="1561"/>
      <c r="M46" s="1561"/>
      <c r="R46" s="1561"/>
      <c r="U46" s="469"/>
      <c r="AA46" s="1557"/>
      <c r="AB46" s="1557"/>
      <c r="AC46" s="1557"/>
      <c r="AD46" s="1557"/>
      <c r="AE46" s="1557"/>
    </row>
    <row r="47" spans="1:31" ht="11.25" customHeight="1">
      <c r="D47" s="1563"/>
    </row>
    <row r="48" spans="1:31" ht="26.25" customHeight="1">
      <c r="D48" s="1563"/>
      <c r="E48" s="1174"/>
      <c r="F48" s="2041"/>
      <c r="G48" s="2041"/>
      <c r="H48" s="2041"/>
      <c r="I48" s="2041"/>
      <c r="J48" s="2041"/>
    </row>
    <row r="49" spans="1:31" s="1566" customFormat="1" ht="37.5" customHeight="1">
      <c r="A49" s="903"/>
      <c r="B49" s="1561"/>
      <c r="C49" s="1561"/>
      <c r="D49" s="272"/>
      <c r="F49" s="2041"/>
      <c r="G49" s="2041"/>
      <c r="H49" s="2041"/>
      <c r="I49" s="2041"/>
      <c r="J49" s="2041"/>
      <c r="K49" s="1070"/>
      <c r="L49" s="1561"/>
      <c r="M49" s="1561"/>
      <c r="N49" s="1070"/>
      <c r="O49" s="1070"/>
      <c r="P49" s="1070"/>
      <c r="Q49" s="1070"/>
      <c r="R49" s="1561"/>
      <c r="S49" s="1070"/>
      <c r="T49" s="1070"/>
      <c r="U49" s="469"/>
      <c r="V49" s="1070"/>
      <c r="W49" s="1070"/>
      <c r="X49" s="1070"/>
      <c r="Y49" s="1070"/>
      <c r="Z49" s="1070"/>
      <c r="AA49" s="1557"/>
      <c r="AB49" s="491"/>
      <c r="AC49" s="491"/>
      <c r="AD49" s="491"/>
      <c r="AE49" s="491"/>
    </row>
    <row r="50" spans="1:31" s="1566" customFormat="1" ht="11.25" customHeight="1">
      <c r="A50" s="903"/>
      <c r="B50" s="1561"/>
      <c r="C50" s="1561"/>
      <c r="D50" s="272"/>
      <c r="K50" s="1070"/>
      <c r="L50" s="1561"/>
      <c r="M50" s="1561"/>
      <c r="N50" s="1070"/>
      <c r="O50" s="1070"/>
      <c r="P50" s="1070"/>
      <c r="Q50" s="1070"/>
      <c r="R50" s="1561"/>
      <c r="S50" s="1070"/>
      <c r="T50" s="1070"/>
      <c r="U50" s="469"/>
      <c r="V50" s="1070"/>
      <c r="W50" s="1070"/>
      <c r="X50" s="1070"/>
      <c r="Y50" s="1070"/>
      <c r="Z50" s="1070"/>
      <c r="AA50" s="1557"/>
      <c r="AB50" s="491"/>
      <c r="AC50" s="491"/>
      <c r="AD50" s="491"/>
      <c r="AE50" s="491"/>
    </row>
    <row r="51" spans="1:31" s="1566" customFormat="1" ht="11.25" customHeight="1">
      <c r="A51" s="903"/>
      <c r="B51" s="1561"/>
      <c r="C51" s="1561"/>
      <c r="D51" s="272"/>
      <c r="K51" s="1070"/>
      <c r="L51" s="1561"/>
      <c r="M51" s="1561"/>
      <c r="N51" s="1070"/>
      <c r="O51" s="1070"/>
      <c r="P51" s="1070"/>
      <c r="Q51" s="1070"/>
      <c r="R51" s="1561"/>
      <c r="S51" s="1070"/>
      <c r="T51" s="1070"/>
      <c r="U51" s="469"/>
      <c r="V51" s="1070"/>
      <c r="W51" s="1070"/>
      <c r="X51" s="1070"/>
      <c r="Y51" s="1070"/>
      <c r="Z51" s="1070"/>
      <c r="AA51" s="1557"/>
      <c r="AB51" s="491"/>
      <c r="AC51" s="491"/>
      <c r="AD51" s="491"/>
      <c r="AE51" s="491"/>
    </row>
    <row r="52" spans="1:31" s="1566" customFormat="1" ht="11.25" customHeight="1">
      <c r="A52" s="903"/>
      <c r="B52" s="1561"/>
      <c r="C52" s="1561"/>
      <c r="D52" s="272"/>
      <c r="H52" s="491"/>
      <c r="I52" s="491"/>
      <c r="K52" s="1070"/>
      <c r="L52" s="1561"/>
      <c r="M52" s="1561"/>
      <c r="N52" s="1070"/>
      <c r="O52" s="1070"/>
      <c r="P52" s="1070"/>
      <c r="Q52" s="1070"/>
      <c r="R52" s="1561"/>
      <c r="S52" s="1070"/>
      <c r="T52" s="1070"/>
      <c r="U52" s="469"/>
      <c r="V52" s="1070"/>
      <c r="W52" s="1070"/>
      <c r="X52" s="1070"/>
      <c r="Y52" s="1070"/>
      <c r="Z52" s="1070"/>
      <c r="AA52" s="1557"/>
      <c r="AB52" s="491"/>
      <c r="AC52" s="491"/>
      <c r="AD52" s="491"/>
      <c r="AE52" s="491"/>
    </row>
    <row r="53" spans="1:31" s="1566" customFormat="1" ht="11.25" customHeight="1">
      <c r="A53" s="903"/>
      <c r="B53" s="1561"/>
      <c r="C53" s="1561"/>
      <c r="D53" s="272"/>
      <c r="K53" s="1070"/>
      <c r="L53" s="1561"/>
      <c r="M53" s="1561"/>
      <c r="N53" s="1070"/>
      <c r="O53" s="1070"/>
      <c r="P53" s="1070"/>
      <c r="Q53" s="1070"/>
      <c r="R53" s="1561"/>
      <c r="S53" s="1070"/>
      <c r="T53" s="1070"/>
      <c r="U53" s="469"/>
      <c r="V53" s="1070"/>
      <c r="W53" s="1070"/>
      <c r="X53" s="1070"/>
      <c r="Y53" s="1070"/>
      <c r="Z53" s="1070"/>
      <c r="AA53" s="1557"/>
      <c r="AB53" s="491"/>
      <c r="AC53" s="491"/>
      <c r="AD53" s="491"/>
      <c r="AE53" s="491"/>
    </row>
    <row r="54" spans="1:31" s="1566" customFormat="1" ht="11.25" customHeight="1">
      <c r="A54" s="903"/>
      <c r="B54" s="1561"/>
      <c r="C54" s="1561"/>
      <c r="D54" s="272"/>
      <c r="K54" s="1070"/>
      <c r="L54" s="1561"/>
      <c r="M54" s="1561"/>
      <c r="N54" s="1070"/>
      <c r="O54" s="1070"/>
      <c r="P54" s="1070"/>
      <c r="Q54" s="1070"/>
      <c r="R54" s="1561"/>
      <c r="S54" s="1070"/>
      <c r="T54" s="1070"/>
      <c r="U54" s="469"/>
      <c r="V54" s="1070"/>
      <c r="W54" s="1070"/>
      <c r="X54" s="1070"/>
      <c r="Y54" s="1070"/>
      <c r="Z54" s="1070"/>
      <c r="AA54" s="1557"/>
      <c r="AB54" s="491"/>
      <c r="AC54" s="491"/>
      <c r="AD54" s="491"/>
      <c r="AE54" s="491"/>
    </row>
    <row r="55" spans="1:31" s="1566" customFormat="1" ht="11.25" customHeight="1">
      <c r="A55" s="903"/>
      <c r="B55" s="1561"/>
      <c r="C55" s="1561"/>
      <c r="D55" s="272"/>
      <c r="K55" s="1070"/>
      <c r="L55" s="1561"/>
      <c r="M55" s="1561"/>
      <c r="N55" s="1070"/>
      <c r="O55" s="1070"/>
      <c r="P55" s="1070"/>
      <c r="Q55" s="1070"/>
      <c r="R55" s="1561"/>
      <c r="S55" s="1070"/>
      <c r="T55" s="1070"/>
      <c r="U55" s="469"/>
      <c r="V55" s="1070"/>
      <c r="W55" s="1070"/>
      <c r="X55" s="1070"/>
      <c r="Y55" s="1070"/>
      <c r="Z55" s="1070"/>
      <c r="AA55" s="1557"/>
      <c r="AB55" s="491"/>
      <c r="AC55" s="491"/>
      <c r="AD55" s="491"/>
      <c r="AE55" s="491"/>
    </row>
    <row r="56" spans="1:31" s="1566" customFormat="1" ht="11.25" customHeight="1">
      <c r="A56" s="903"/>
      <c r="B56" s="1561"/>
      <c r="C56" s="1561"/>
      <c r="D56" s="272"/>
      <c r="K56" s="1070"/>
      <c r="L56" s="1561"/>
      <c r="M56" s="1561"/>
      <c r="N56" s="1070"/>
      <c r="O56" s="1070"/>
      <c r="P56" s="1070"/>
      <c r="Q56" s="1070"/>
      <c r="R56" s="1561"/>
      <c r="S56" s="1070"/>
      <c r="T56" s="1070"/>
      <c r="U56" s="469"/>
      <c r="V56" s="1070"/>
      <c r="W56" s="1070"/>
      <c r="X56" s="1070"/>
      <c r="Y56" s="1070"/>
      <c r="Z56" s="1070"/>
      <c r="AA56" s="1557"/>
      <c r="AB56" s="491"/>
      <c r="AC56" s="491"/>
      <c r="AD56" s="491"/>
      <c r="AE56" s="491"/>
    </row>
    <row r="57" spans="1:31" s="1566" customFormat="1" ht="11.25" customHeight="1">
      <c r="A57" s="903"/>
      <c r="B57" s="1561"/>
      <c r="C57" s="1561"/>
      <c r="D57" s="272"/>
      <c r="K57" s="1070"/>
      <c r="L57" s="1561"/>
      <c r="M57" s="1561"/>
      <c r="N57" s="1070"/>
      <c r="O57" s="1070"/>
      <c r="P57" s="1070"/>
      <c r="Q57" s="1070"/>
      <c r="R57" s="1561"/>
      <c r="S57" s="1070"/>
      <c r="T57" s="1070"/>
      <c r="U57" s="469"/>
      <c r="V57" s="1070"/>
      <c r="W57" s="1070"/>
      <c r="X57" s="1070"/>
      <c r="Y57" s="1070"/>
      <c r="Z57" s="1070"/>
      <c r="AA57" s="1557"/>
      <c r="AB57" s="491"/>
      <c r="AC57" s="491"/>
      <c r="AD57" s="491"/>
      <c r="AE57" s="491"/>
    </row>
    <row r="58" spans="1:31" s="1566" customFormat="1" ht="11.25" customHeight="1">
      <c r="A58" s="903"/>
      <c r="B58" s="1561"/>
      <c r="C58" s="1561"/>
      <c r="D58" s="272"/>
      <c r="K58" s="1070"/>
      <c r="L58" s="1561"/>
      <c r="M58" s="1561"/>
      <c r="N58" s="1070"/>
      <c r="O58" s="1070"/>
      <c r="P58" s="1070"/>
      <c r="Q58" s="1070"/>
      <c r="R58" s="1561"/>
      <c r="S58" s="1070"/>
      <c r="T58" s="1070"/>
      <c r="U58" s="469"/>
      <c r="V58" s="1070"/>
      <c r="W58" s="1070"/>
      <c r="X58" s="1070"/>
      <c r="Y58" s="1070"/>
      <c r="Z58" s="1070"/>
      <c r="AA58" s="1557"/>
      <c r="AB58" s="491"/>
      <c r="AC58" s="491"/>
      <c r="AD58" s="491"/>
      <c r="AE58" s="491"/>
    </row>
    <row r="59" spans="1:31" s="1566" customFormat="1" ht="11.25" customHeight="1">
      <c r="A59" s="903"/>
      <c r="B59" s="1561"/>
      <c r="C59" s="1561"/>
      <c r="D59" s="272"/>
      <c r="K59" s="1070"/>
      <c r="L59" s="1561"/>
      <c r="M59" s="1561"/>
      <c r="N59" s="1070"/>
      <c r="O59" s="1070"/>
      <c r="P59" s="1070"/>
      <c r="Q59" s="1070"/>
      <c r="R59" s="1561"/>
      <c r="S59" s="1070"/>
      <c r="T59" s="1070"/>
      <c r="U59" s="469"/>
      <c r="V59" s="1070"/>
      <c r="W59" s="1070"/>
      <c r="X59" s="1070"/>
      <c r="Y59" s="1070"/>
      <c r="Z59" s="1070"/>
      <c r="AA59" s="1557"/>
      <c r="AB59" s="491"/>
      <c r="AC59" s="491"/>
      <c r="AD59" s="491"/>
      <c r="AE59" s="491"/>
    </row>
    <row r="60" spans="1:31" s="1566" customFormat="1" ht="11.25" customHeight="1">
      <c r="A60" s="903"/>
      <c r="B60" s="1561"/>
      <c r="C60" s="1561"/>
      <c r="D60" s="272"/>
      <c r="K60" s="1070"/>
      <c r="L60" s="1561"/>
      <c r="M60" s="1561"/>
      <c r="N60" s="1070"/>
      <c r="O60" s="1070"/>
      <c r="P60" s="1070"/>
      <c r="Q60" s="1070"/>
      <c r="R60" s="1561"/>
      <c r="S60" s="1070"/>
      <c r="T60" s="1070"/>
      <c r="U60" s="469"/>
      <c r="V60" s="1070"/>
      <c r="W60" s="1070"/>
      <c r="X60" s="1070"/>
      <c r="Y60" s="1070"/>
      <c r="Z60" s="1070"/>
      <c r="AA60" s="1557"/>
      <c r="AB60" s="491"/>
      <c r="AC60" s="491"/>
      <c r="AD60" s="491"/>
      <c r="AE60" s="491"/>
    </row>
    <row r="61" spans="1:31" s="1566" customFormat="1" ht="11.25" customHeight="1">
      <c r="A61" s="903"/>
      <c r="B61" s="1561"/>
      <c r="C61" s="1561"/>
      <c r="D61" s="272"/>
      <c r="K61" s="1070"/>
      <c r="L61" s="1561"/>
      <c r="M61" s="1561"/>
      <c r="N61" s="1070"/>
      <c r="O61" s="1070"/>
      <c r="P61" s="1070"/>
      <c r="Q61" s="1070"/>
      <c r="R61" s="1561"/>
      <c r="S61" s="1070"/>
      <c r="T61" s="1070"/>
      <c r="U61" s="469"/>
      <c r="V61" s="1070"/>
      <c r="W61" s="1070"/>
      <c r="X61" s="1070"/>
      <c r="Y61" s="1070"/>
      <c r="Z61" s="1070"/>
      <c r="AA61" s="1557"/>
      <c r="AB61" s="491"/>
      <c r="AC61" s="491"/>
      <c r="AD61" s="491"/>
      <c r="AE61" s="491"/>
    </row>
    <row r="62" spans="1:31" s="1566" customFormat="1" ht="11.25" customHeight="1">
      <c r="A62" s="903"/>
      <c r="B62" s="1561"/>
      <c r="C62" s="1561"/>
      <c r="D62" s="272"/>
      <c r="K62" s="1070"/>
      <c r="L62" s="1561"/>
      <c r="M62" s="1561"/>
      <c r="N62" s="1070"/>
      <c r="O62" s="1070"/>
      <c r="P62" s="1070"/>
      <c r="Q62" s="1070"/>
      <c r="R62" s="1561"/>
      <c r="S62" s="1070"/>
      <c r="T62" s="1070"/>
      <c r="U62" s="469"/>
      <c r="V62" s="1070"/>
      <c r="W62" s="1070"/>
      <c r="X62" s="1070"/>
      <c r="Y62" s="1070"/>
      <c r="Z62" s="1070"/>
      <c r="AA62" s="1557"/>
      <c r="AB62" s="491"/>
      <c r="AC62" s="491"/>
      <c r="AD62" s="491"/>
      <c r="AE62" s="491"/>
    </row>
    <row r="63" spans="1:31" s="1566" customFormat="1" ht="11.25" customHeight="1">
      <c r="A63" s="903"/>
      <c r="B63" s="1561"/>
      <c r="C63" s="1561"/>
      <c r="D63" s="272"/>
      <c r="K63" s="1070"/>
      <c r="L63" s="1561"/>
      <c r="M63" s="1561"/>
      <c r="N63" s="1070"/>
      <c r="O63" s="1070"/>
      <c r="P63" s="1070"/>
      <c r="Q63" s="1070"/>
      <c r="R63" s="1561"/>
      <c r="S63" s="1070"/>
      <c r="T63" s="1070"/>
      <c r="U63" s="469"/>
      <c r="V63" s="1070"/>
      <c r="W63" s="1070"/>
      <c r="X63" s="1070"/>
      <c r="Y63" s="1070"/>
      <c r="Z63" s="1070"/>
      <c r="AA63" s="1557"/>
      <c r="AB63" s="491"/>
      <c r="AC63" s="491"/>
      <c r="AD63" s="491"/>
      <c r="AE63" s="491"/>
    </row>
    <row r="64" spans="1:31" s="1566" customFormat="1" ht="11.25" customHeight="1">
      <c r="A64" s="903"/>
      <c r="B64" s="1561"/>
      <c r="C64" s="1561"/>
      <c r="D64" s="272"/>
      <c r="K64" s="1070"/>
      <c r="L64" s="1561"/>
      <c r="M64" s="1561"/>
      <c r="N64" s="1070"/>
      <c r="O64" s="1070"/>
      <c r="P64" s="1070"/>
      <c r="Q64" s="1070"/>
      <c r="R64" s="1561"/>
      <c r="S64" s="1070"/>
      <c r="T64" s="1070"/>
      <c r="U64" s="469"/>
      <c r="V64" s="1070"/>
      <c r="W64" s="1070"/>
      <c r="X64" s="1070"/>
      <c r="Y64" s="1070"/>
      <c r="Z64" s="1070"/>
      <c r="AA64" s="1557"/>
      <c r="AB64" s="491"/>
      <c r="AC64" s="491"/>
      <c r="AD64" s="491"/>
      <c r="AE64" s="491"/>
    </row>
    <row r="65" spans="1:31" s="1566" customFormat="1" ht="11.25" customHeight="1">
      <c r="A65" s="903"/>
      <c r="B65" s="1561"/>
      <c r="C65" s="1561"/>
      <c r="D65" s="272"/>
      <c r="K65" s="1070"/>
      <c r="L65" s="1561"/>
      <c r="M65" s="1561"/>
      <c r="N65" s="1070"/>
      <c r="O65" s="1070"/>
      <c r="P65" s="1070"/>
      <c r="Q65" s="1070"/>
      <c r="R65" s="1561"/>
      <c r="S65" s="1070"/>
      <c r="T65" s="1070"/>
      <c r="U65" s="469"/>
      <c r="V65" s="1070"/>
      <c r="W65" s="1070"/>
      <c r="X65" s="1070"/>
      <c r="Y65" s="1070"/>
      <c r="Z65" s="1070"/>
      <c r="AA65" s="1557"/>
      <c r="AB65" s="491"/>
      <c r="AC65" s="491"/>
      <c r="AD65" s="491"/>
      <c r="AE65" s="491"/>
    </row>
    <row r="66" spans="1:31" s="1566" customFormat="1" ht="11.25" customHeight="1">
      <c r="A66" s="903"/>
      <c r="B66" s="1561"/>
      <c r="C66" s="1561"/>
      <c r="D66" s="272"/>
      <c r="K66" s="1070"/>
      <c r="L66" s="1561"/>
      <c r="M66" s="1561"/>
      <c r="N66" s="1070"/>
      <c r="O66" s="1070"/>
      <c r="P66" s="1070"/>
      <c r="Q66" s="1070"/>
      <c r="R66" s="1561"/>
      <c r="S66" s="1070"/>
      <c r="T66" s="1070"/>
      <c r="U66" s="469"/>
      <c r="V66" s="1070"/>
      <c r="W66" s="1070"/>
      <c r="X66" s="1070"/>
      <c r="Y66" s="1070"/>
      <c r="Z66" s="1070"/>
      <c r="AA66" s="1557"/>
      <c r="AB66" s="491"/>
      <c r="AC66" s="491"/>
      <c r="AD66" s="491"/>
      <c r="AE66" s="491"/>
    </row>
    <row r="67" spans="1:31" s="1566" customFormat="1" ht="11.25" customHeight="1">
      <c r="A67" s="903"/>
      <c r="B67" s="1561"/>
      <c r="C67" s="1561"/>
      <c r="D67" s="272"/>
      <c r="K67" s="1070"/>
      <c r="L67" s="1561"/>
      <c r="M67" s="1561"/>
      <c r="N67" s="1070"/>
      <c r="O67" s="1070"/>
      <c r="P67" s="1070"/>
      <c r="Q67" s="1070"/>
      <c r="R67" s="1561"/>
      <c r="S67" s="1070"/>
      <c r="T67" s="1070"/>
      <c r="U67" s="469"/>
      <c r="V67" s="1070"/>
      <c r="W67" s="1070"/>
      <c r="X67" s="1070"/>
      <c r="Y67" s="1070"/>
      <c r="Z67" s="1070"/>
      <c r="AA67" s="1557"/>
      <c r="AB67" s="491"/>
      <c r="AC67" s="491"/>
      <c r="AD67" s="491"/>
      <c r="AE67" s="491"/>
    </row>
    <row r="68" spans="1:31" s="1566" customFormat="1" ht="11.25" customHeight="1">
      <c r="A68" s="903"/>
      <c r="B68" s="1561"/>
      <c r="C68" s="1561"/>
      <c r="D68" s="272"/>
      <c r="K68" s="1070"/>
      <c r="L68" s="1561"/>
      <c r="M68" s="1561"/>
      <c r="N68" s="1070"/>
      <c r="O68" s="1070"/>
      <c r="P68" s="1070"/>
      <c r="Q68" s="1070"/>
      <c r="R68" s="1561"/>
      <c r="S68" s="1070"/>
      <c r="T68" s="1070"/>
      <c r="U68" s="469"/>
      <c r="V68" s="1070"/>
      <c r="W68" s="1070"/>
      <c r="X68" s="1070"/>
      <c r="Y68" s="1070"/>
      <c r="Z68" s="1070"/>
      <c r="AA68" s="1557"/>
      <c r="AB68" s="491"/>
      <c r="AC68" s="491"/>
      <c r="AD68" s="491"/>
      <c r="AE68" s="491"/>
    </row>
    <row r="69" spans="1:31" s="1566" customFormat="1" ht="11.25" customHeight="1">
      <c r="A69" s="903"/>
      <c r="B69" s="1561"/>
      <c r="C69" s="1561"/>
      <c r="D69" s="272"/>
      <c r="K69" s="1070"/>
      <c r="L69" s="1561"/>
      <c r="M69" s="1561"/>
      <c r="N69" s="1070"/>
      <c r="O69" s="1070"/>
      <c r="P69" s="1070"/>
      <c r="Q69" s="1070"/>
      <c r="R69" s="1561"/>
      <c r="S69" s="1070"/>
      <c r="T69" s="1070"/>
      <c r="U69" s="469"/>
      <c r="V69" s="1070"/>
      <c r="W69" s="1070"/>
      <c r="X69" s="1070"/>
      <c r="Y69" s="1070"/>
      <c r="Z69" s="1070"/>
      <c r="AA69" s="1557"/>
      <c r="AB69" s="491"/>
      <c r="AC69" s="491"/>
      <c r="AD69" s="491"/>
      <c r="AE69" s="491"/>
    </row>
    <row r="70" spans="1:31" s="1566" customFormat="1" ht="11.25" customHeight="1">
      <c r="A70" s="903"/>
      <c r="B70" s="1561"/>
      <c r="C70" s="1561"/>
      <c r="D70" s="272"/>
      <c r="K70" s="1070"/>
      <c r="L70" s="1561"/>
      <c r="M70" s="1561"/>
      <c r="N70" s="1070"/>
      <c r="O70" s="1070"/>
      <c r="P70" s="1070"/>
      <c r="Q70" s="1070"/>
      <c r="R70" s="1561"/>
      <c r="S70" s="1070"/>
      <c r="T70" s="1070"/>
      <c r="U70" s="469"/>
      <c r="V70" s="1070"/>
      <c r="W70" s="1070"/>
      <c r="X70" s="1070"/>
      <c r="Y70" s="1070"/>
      <c r="Z70" s="1070"/>
      <c r="AA70" s="1557"/>
      <c r="AB70" s="491"/>
      <c r="AC70" s="491"/>
      <c r="AD70" s="491"/>
      <c r="AE70" s="491"/>
    </row>
    <row r="71" spans="1:31" s="1566" customFormat="1" ht="11.25" customHeight="1">
      <c r="A71" s="903"/>
      <c r="B71" s="1561"/>
      <c r="C71" s="1561"/>
      <c r="D71" s="272"/>
      <c r="K71" s="1070"/>
      <c r="L71" s="1561"/>
      <c r="M71" s="1561"/>
      <c r="N71" s="1070"/>
      <c r="O71" s="1070"/>
      <c r="P71" s="1070"/>
      <c r="Q71" s="1070"/>
      <c r="R71" s="1561"/>
      <c r="S71" s="1070"/>
      <c r="T71" s="1070"/>
      <c r="U71" s="469"/>
      <c r="V71" s="1070"/>
      <c r="W71" s="1070"/>
      <c r="X71" s="1070"/>
      <c r="Y71" s="1070"/>
      <c r="Z71" s="1070"/>
      <c r="AA71" s="1557"/>
      <c r="AB71" s="491"/>
      <c r="AC71" s="491"/>
      <c r="AD71" s="491"/>
      <c r="AE71" s="491"/>
    </row>
    <row r="72" spans="1:31" s="1566" customFormat="1" ht="11.25" customHeight="1">
      <c r="A72" s="903"/>
      <c r="B72" s="1561"/>
      <c r="C72" s="1561"/>
      <c r="D72" s="272"/>
      <c r="K72" s="1070"/>
      <c r="L72" s="1561"/>
      <c r="M72" s="1561"/>
      <c r="N72" s="1070"/>
      <c r="O72" s="1070"/>
      <c r="P72" s="1070"/>
      <c r="Q72" s="1070"/>
      <c r="R72" s="1561"/>
      <c r="S72" s="1070"/>
      <c r="T72" s="1070"/>
      <c r="U72" s="469"/>
      <c r="V72" s="1070"/>
      <c r="W72" s="1070"/>
      <c r="X72" s="1070"/>
      <c r="Y72" s="1070"/>
      <c r="Z72" s="1070"/>
      <c r="AA72" s="1557"/>
      <c r="AB72" s="491"/>
      <c r="AC72" s="491"/>
      <c r="AD72" s="491"/>
      <c r="AE72" s="491"/>
    </row>
    <row r="73" spans="1:31" s="1566" customFormat="1" ht="11.25" customHeight="1">
      <c r="A73" s="903"/>
      <c r="B73" s="1561"/>
      <c r="C73" s="1561"/>
      <c r="D73" s="272"/>
      <c r="K73" s="1070"/>
      <c r="L73" s="1561"/>
      <c r="M73" s="1561"/>
      <c r="N73" s="1070"/>
      <c r="O73" s="1070"/>
      <c r="P73" s="1070"/>
      <c r="Q73" s="1070"/>
      <c r="R73" s="1561"/>
      <c r="S73" s="1070"/>
      <c r="T73" s="1070"/>
      <c r="U73" s="469"/>
      <c r="V73" s="1070"/>
      <c r="W73" s="1070"/>
      <c r="X73" s="1070"/>
      <c r="Y73" s="1070"/>
      <c r="Z73" s="1070"/>
      <c r="AA73" s="1557"/>
      <c r="AB73" s="491"/>
      <c r="AC73" s="491"/>
      <c r="AD73" s="491"/>
      <c r="AE73" s="491"/>
    </row>
    <row r="74" spans="1:31" s="1566" customFormat="1" ht="11.25" customHeight="1">
      <c r="A74" s="903"/>
      <c r="B74" s="1561"/>
      <c r="C74" s="1561"/>
      <c r="D74" s="272"/>
      <c r="K74" s="1070"/>
      <c r="L74" s="1561"/>
      <c r="M74" s="1561"/>
      <c r="N74" s="1070"/>
      <c r="O74" s="1070"/>
      <c r="P74" s="1070"/>
      <c r="Q74" s="1070"/>
      <c r="R74" s="1561"/>
      <c r="S74" s="1070"/>
      <c r="T74" s="1070"/>
      <c r="U74" s="469"/>
      <c r="V74" s="1070"/>
      <c r="W74" s="1070"/>
      <c r="X74" s="1070"/>
      <c r="Y74" s="1070"/>
      <c r="Z74" s="1070"/>
      <c r="AA74" s="1557"/>
      <c r="AB74" s="491"/>
      <c r="AC74" s="491"/>
      <c r="AD74" s="491"/>
      <c r="AE74" s="491"/>
    </row>
    <row r="75" spans="1:31" s="1566" customFormat="1" ht="11.25" customHeight="1">
      <c r="A75" s="903"/>
      <c r="B75" s="1561"/>
      <c r="C75" s="1561"/>
      <c r="D75" s="272"/>
      <c r="K75" s="1070"/>
      <c r="L75" s="1561"/>
      <c r="M75" s="1561"/>
      <c r="N75" s="1070"/>
      <c r="O75" s="1070"/>
      <c r="P75" s="1070"/>
      <c r="Q75" s="1070"/>
      <c r="R75" s="1561"/>
      <c r="S75" s="1070"/>
      <c r="T75" s="1070"/>
      <c r="U75" s="469"/>
      <c r="V75" s="1070"/>
      <c r="W75" s="1070"/>
      <c r="X75" s="1070"/>
      <c r="Y75" s="1070"/>
      <c r="Z75" s="1070"/>
      <c r="AA75" s="1557"/>
      <c r="AB75" s="491"/>
      <c r="AC75" s="491"/>
      <c r="AD75" s="491"/>
      <c r="AE75" s="491"/>
    </row>
    <row r="76" spans="1:31" s="1566" customFormat="1" ht="11.25" customHeight="1">
      <c r="A76" s="903"/>
      <c r="B76" s="1561"/>
      <c r="C76" s="1561"/>
      <c r="D76" s="272"/>
      <c r="K76" s="1070"/>
      <c r="L76" s="1561"/>
      <c r="M76" s="1561"/>
      <c r="N76" s="1070"/>
      <c r="O76" s="1070"/>
      <c r="P76" s="1070"/>
      <c r="Q76" s="1070"/>
      <c r="R76" s="1561"/>
      <c r="S76" s="1070"/>
      <c r="T76" s="1070"/>
      <c r="U76" s="469"/>
      <c r="V76" s="1070"/>
      <c r="W76" s="1070"/>
      <c r="X76" s="1070"/>
      <c r="Y76" s="1070"/>
      <c r="Z76" s="1070"/>
      <c r="AA76" s="1557"/>
      <c r="AB76" s="491"/>
      <c r="AC76" s="491"/>
      <c r="AD76" s="491"/>
      <c r="AE76" s="491"/>
    </row>
    <row r="77" spans="1:31" s="1566" customFormat="1" ht="11.25" customHeight="1">
      <c r="A77" s="903"/>
      <c r="B77" s="1561"/>
      <c r="C77" s="1561"/>
      <c r="D77" s="272"/>
      <c r="K77" s="1070"/>
      <c r="L77" s="1561"/>
      <c r="M77" s="1561"/>
      <c r="N77" s="1070"/>
      <c r="O77" s="1070"/>
      <c r="P77" s="1070"/>
      <c r="Q77" s="1070"/>
      <c r="R77" s="1561"/>
      <c r="S77" s="1070"/>
      <c r="T77" s="1070"/>
      <c r="U77" s="469"/>
      <c r="V77" s="1070"/>
      <c r="W77" s="1070"/>
      <c r="X77" s="1070"/>
      <c r="Y77" s="1070"/>
      <c r="Z77" s="1070"/>
      <c r="AA77" s="1557"/>
      <c r="AB77" s="491"/>
      <c r="AC77" s="491"/>
      <c r="AD77" s="491"/>
      <c r="AE77" s="491"/>
    </row>
    <row r="78" spans="1:31" s="1566" customFormat="1" ht="11.25" customHeight="1">
      <c r="A78" s="903"/>
      <c r="B78" s="1561"/>
      <c r="C78" s="1561"/>
      <c r="D78" s="272"/>
      <c r="K78" s="1070"/>
      <c r="L78" s="1561"/>
      <c r="M78" s="1561"/>
      <c r="N78" s="1070"/>
      <c r="O78" s="1070"/>
      <c r="P78" s="1070"/>
      <c r="Q78" s="1070"/>
      <c r="R78" s="1561"/>
      <c r="S78" s="1070"/>
      <c r="T78" s="1070"/>
      <c r="U78" s="469"/>
      <c r="V78" s="1070"/>
      <c r="W78" s="1070"/>
      <c r="X78" s="1070"/>
      <c r="Y78" s="1070"/>
      <c r="Z78" s="1070"/>
      <c r="AA78" s="1557"/>
      <c r="AB78" s="491"/>
      <c r="AC78" s="491"/>
      <c r="AD78" s="491"/>
      <c r="AE78" s="491"/>
    </row>
    <row r="79" spans="1:31" s="1566" customFormat="1" ht="11.25" customHeight="1">
      <c r="A79" s="903"/>
      <c r="B79" s="1561"/>
      <c r="C79" s="1561"/>
      <c r="D79" s="272"/>
      <c r="K79" s="1070"/>
      <c r="L79" s="1561"/>
      <c r="M79" s="1561"/>
      <c r="N79" s="1070"/>
      <c r="O79" s="1070"/>
      <c r="P79" s="1070"/>
      <c r="Q79" s="1070"/>
      <c r="R79" s="1561"/>
      <c r="S79" s="1070"/>
      <c r="T79" s="1070"/>
      <c r="U79" s="469"/>
      <c r="V79" s="1070"/>
      <c r="W79" s="1070"/>
      <c r="X79" s="1070"/>
      <c r="Y79" s="1070"/>
      <c r="Z79" s="1070"/>
      <c r="AA79" s="1557"/>
      <c r="AB79" s="491"/>
      <c r="AC79" s="491"/>
      <c r="AD79" s="491"/>
      <c r="AE79" s="491"/>
    </row>
    <row r="80" spans="1:31" s="1566" customFormat="1" ht="11.25" customHeight="1">
      <c r="A80" s="903"/>
      <c r="B80" s="1561"/>
      <c r="C80" s="1561"/>
      <c r="D80" s="272"/>
      <c r="K80" s="1070"/>
      <c r="L80" s="1561"/>
      <c r="M80" s="1561"/>
      <c r="N80" s="1070"/>
      <c r="O80" s="1070"/>
      <c r="P80" s="1070"/>
      <c r="Q80" s="1070"/>
      <c r="R80" s="1561"/>
      <c r="S80" s="1070"/>
      <c r="T80" s="1070"/>
      <c r="U80" s="469"/>
      <c r="V80" s="1070"/>
      <c r="W80" s="1070"/>
      <c r="X80" s="1070"/>
      <c r="Y80" s="1070"/>
      <c r="Z80" s="1070"/>
      <c r="AA80" s="1557"/>
      <c r="AB80" s="491"/>
      <c r="AC80" s="491"/>
      <c r="AD80" s="491"/>
      <c r="AE80" s="491"/>
    </row>
    <row r="81" spans="1:31" s="1566" customFormat="1" ht="11.25" customHeight="1">
      <c r="A81" s="903"/>
      <c r="B81" s="1561"/>
      <c r="C81" s="1561"/>
      <c r="D81" s="272"/>
      <c r="K81" s="1070"/>
      <c r="L81" s="1561"/>
      <c r="M81" s="1561"/>
      <c r="N81" s="1070"/>
      <c r="O81" s="1070"/>
      <c r="P81" s="1070"/>
      <c r="Q81" s="1070"/>
      <c r="R81" s="1561"/>
      <c r="S81" s="1070"/>
      <c r="T81" s="1070"/>
      <c r="U81" s="469"/>
      <c r="V81" s="1070"/>
      <c r="W81" s="1070"/>
      <c r="X81" s="1070"/>
      <c r="Y81" s="1070"/>
      <c r="Z81" s="1070"/>
      <c r="AA81" s="1557"/>
      <c r="AB81" s="491"/>
      <c r="AC81" s="491"/>
      <c r="AD81" s="491"/>
      <c r="AE81" s="491"/>
    </row>
    <row r="82" spans="1:31" s="1566" customFormat="1" ht="11.25" customHeight="1">
      <c r="A82" s="903"/>
      <c r="B82" s="1561"/>
      <c r="C82" s="1561"/>
      <c r="D82" s="272"/>
      <c r="K82" s="1070"/>
      <c r="L82" s="1561"/>
      <c r="M82" s="1561"/>
      <c r="N82" s="1070"/>
      <c r="O82" s="1070"/>
      <c r="P82" s="1070"/>
      <c r="Q82" s="1070"/>
      <c r="R82" s="1561"/>
      <c r="S82" s="1070"/>
      <c r="T82" s="1070"/>
      <c r="U82" s="469"/>
      <c r="V82" s="1070"/>
      <c r="W82" s="1070"/>
      <c r="X82" s="1070"/>
      <c r="Y82" s="1070"/>
      <c r="Z82" s="1070"/>
      <c r="AA82" s="1557"/>
      <c r="AB82" s="491"/>
      <c r="AC82" s="491"/>
      <c r="AD82" s="491"/>
      <c r="AE82" s="491"/>
    </row>
    <row r="83" spans="1:31" s="1566" customFormat="1" ht="11.25" customHeight="1">
      <c r="A83" s="903"/>
      <c r="B83" s="1561"/>
      <c r="C83" s="1561"/>
      <c r="D83" s="272"/>
      <c r="K83" s="1070"/>
      <c r="L83" s="1561"/>
      <c r="M83" s="1561"/>
      <c r="N83" s="1070"/>
      <c r="O83" s="1070"/>
      <c r="P83" s="1070"/>
      <c r="Q83" s="1070"/>
      <c r="R83" s="1561"/>
      <c r="S83" s="1070"/>
      <c r="T83" s="1070"/>
      <c r="U83" s="469"/>
      <c r="V83" s="1070"/>
      <c r="W83" s="1070"/>
      <c r="X83" s="1070"/>
      <c r="Y83" s="1070"/>
      <c r="Z83" s="1070"/>
      <c r="AA83" s="1557"/>
      <c r="AB83" s="491"/>
      <c r="AC83" s="491"/>
      <c r="AD83" s="491"/>
      <c r="AE83" s="491"/>
    </row>
    <row r="84" spans="1:31" s="1566" customFormat="1" ht="11.25" customHeight="1">
      <c r="A84" s="903"/>
      <c r="B84" s="1561"/>
      <c r="C84" s="1561"/>
      <c r="D84" s="272"/>
      <c r="K84" s="1070"/>
      <c r="L84" s="1561"/>
      <c r="M84" s="1561"/>
      <c r="N84" s="1070"/>
      <c r="O84" s="1070"/>
      <c r="P84" s="1070"/>
      <c r="Q84" s="1070"/>
      <c r="R84" s="1561"/>
      <c r="S84" s="1070"/>
      <c r="T84" s="1070"/>
      <c r="U84" s="469"/>
      <c r="V84" s="1070"/>
      <c r="W84" s="1070"/>
      <c r="X84" s="1070"/>
      <c r="Y84" s="1070"/>
      <c r="Z84" s="1070"/>
      <c r="AA84" s="1557"/>
      <c r="AB84" s="491"/>
      <c r="AC84" s="491"/>
      <c r="AD84" s="491"/>
      <c r="AE84" s="491"/>
    </row>
    <row r="85" spans="1:31" s="1566" customFormat="1" ht="11.25" customHeight="1">
      <c r="A85" s="903"/>
      <c r="B85" s="1561"/>
      <c r="C85" s="1561"/>
      <c r="D85" s="272"/>
      <c r="K85" s="1070"/>
      <c r="L85" s="1561"/>
      <c r="M85" s="1561"/>
      <c r="N85" s="1070"/>
      <c r="O85" s="1070"/>
      <c r="P85" s="1070"/>
      <c r="Q85" s="1070"/>
      <c r="R85" s="1561"/>
      <c r="S85" s="1070"/>
      <c r="T85" s="1070"/>
      <c r="U85" s="469"/>
      <c r="V85" s="1070"/>
      <c r="W85" s="1070"/>
      <c r="X85" s="1070"/>
      <c r="Y85" s="1070"/>
      <c r="Z85" s="1070"/>
      <c r="AA85" s="1557"/>
      <c r="AB85" s="491"/>
      <c r="AC85" s="491"/>
      <c r="AD85" s="491"/>
      <c r="AE85" s="491"/>
    </row>
    <row r="86" spans="1:31" s="1566" customFormat="1" ht="11.25" customHeight="1">
      <c r="A86" s="903"/>
      <c r="B86" s="1561"/>
      <c r="C86" s="1561"/>
      <c r="D86" s="272"/>
      <c r="K86" s="1070"/>
      <c r="L86" s="1561"/>
      <c r="M86" s="1561"/>
      <c r="N86" s="1070"/>
      <c r="O86" s="1070"/>
      <c r="P86" s="1070"/>
      <c r="Q86" s="1070"/>
      <c r="R86" s="1561"/>
      <c r="S86" s="1070"/>
      <c r="T86" s="1070"/>
      <c r="U86" s="469"/>
      <c r="V86" s="1070"/>
      <c r="W86" s="1070"/>
      <c r="X86" s="1070"/>
      <c r="Y86" s="1070"/>
      <c r="Z86" s="1070"/>
      <c r="AA86" s="1557"/>
      <c r="AB86" s="491"/>
      <c r="AC86" s="491"/>
      <c r="AD86" s="491"/>
      <c r="AE86" s="491"/>
    </row>
    <row r="87" spans="1:31" s="1566" customFormat="1" ht="11.25" customHeight="1">
      <c r="A87" s="903"/>
      <c r="B87" s="1561"/>
      <c r="C87" s="1561"/>
      <c r="D87" s="272"/>
      <c r="K87" s="1070"/>
      <c r="L87" s="1561"/>
      <c r="M87" s="1561"/>
      <c r="N87" s="1070"/>
      <c r="O87" s="1070"/>
      <c r="P87" s="1070"/>
      <c r="Q87" s="1070"/>
      <c r="R87" s="1561"/>
      <c r="S87" s="1070"/>
      <c r="T87" s="1070"/>
      <c r="U87" s="469"/>
      <c r="V87" s="1070"/>
      <c r="W87" s="1070"/>
      <c r="X87" s="1070"/>
      <c r="Y87" s="1070"/>
      <c r="Z87" s="1070"/>
      <c r="AA87" s="1557"/>
      <c r="AB87" s="491"/>
      <c r="AC87" s="491"/>
      <c r="AD87" s="491"/>
      <c r="AE87" s="491"/>
    </row>
    <row r="88" spans="1:31" s="1566" customFormat="1" ht="11.25" customHeight="1">
      <c r="A88" s="903"/>
      <c r="B88" s="1561"/>
      <c r="C88" s="1561"/>
      <c r="D88" s="272"/>
      <c r="K88" s="1070"/>
      <c r="L88" s="1561"/>
      <c r="M88" s="1561"/>
      <c r="N88" s="1070"/>
      <c r="O88" s="1070"/>
      <c r="P88" s="1070"/>
      <c r="Q88" s="1070"/>
      <c r="R88" s="1561"/>
      <c r="S88" s="1070"/>
      <c r="T88" s="1070"/>
      <c r="U88" s="469"/>
      <c r="V88" s="1070"/>
      <c r="W88" s="1070"/>
      <c r="X88" s="1070"/>
      <c r="Y88" s="1070"/>
      <c r="Z88" s="1070"/>
      <c r="AA88" s="1557"/>
      <c r="AB88" s="491"/>
      <c r="AC88" s="491"/>
      <c r="AD88" s="491"/>
      <c r="AE88" s="491"/>
    </row>
    <row r="89" spans="1:31" s="1566" customFormat="1" ht="11.25" customHeight="1">
      <c r="A89" s="903"/>
      <c r="B89" s="1561"/>
      <c r="C89" s="1561"/>
      <c r="D89" s="272"/>
      <c r="K89" s="1070"/>
      <c r="L89" s="1561"/>
      <c r="M89" s="1561"/>
      <c r="N89" s="1070"/>
      <c r="O89" s="1070"/>
      <c r="P89" s="1070"/>
      <c r="Q89" s="1070"/>
      <c r="R89" s="1561"/>
      <c r="S89" s="1070"/>
      <c r="T89" s="1070"/>
      <c r="U89" s="469"/>
      <c r="V89" s="1070"/>
      <c r="W89" s="1070"/>
      <c r="X89" s="1070"/>
      <c r="Y89" s="1070"/>
      <c r="Z89" s="1070"/>
      <c r="AA89" s="1557"/>
      <c r="AB89" s="491"/>
      <c r="AC89" s="491"/>
      <c r="AD89" s="491"/>
      <c r="AE89" s="491"/>
    </row>
    <row r="90" spans="1:31" s="1566" customFormat="1" ht="11.25" customHeight="1">
      <c r="A90" s="903"/>
      <c r="B90" s="1561"/>
      <c r="C90" s="1561"/>
      <c r="D90" s="272"/>
      <c r="K90" s="1070"/>
      <c r="L90" s="1561"/>
      <c r="M90" s="1561"/>
      <c r="N90" s="1070"/>
      <c r="O90" s="1070"/>
      <c r="P90" s="1070"/>
      <c r="Q90" s="1070"/>
      <c r="R90" s="1561"/>
      <c r="S90" s="1070"/>
      <c r="T90" s="1070"/>
      <c r="U90" s="469"/>
      <c r="V90" s="1070"/>
      <c r="W90" s="1070"/>
      <c r="X90" s="1070"/>
      <c r="Y90" s="1070"/>
      <c r="Z90" s="1070"/>
      <c r="AA90" s="1557"/>
      <c r="AB90" s="491"/>
      <c r="AC90" s="491"/>
      <c r="AD90" s="491"/>
      <c r="AE90" s="491"/>
    </row>
    <row r="91" spans="1:31" s="1566" customFormat="1" ht="11.25" customHeight="1">
      <c r="A91" s="903"/>
      <c r="B91" s="1561"/>
      <c r="C91" s="1561"/>
      <c r="D91" s="272"/>
      <c r="K91" s="1070"/>
      <c r="L91" s="1561"/>
      <c r="M91" s="1561"/>
      <c r="N91" s="1070"/>
      <c r="O91" s="1070"/>
      <c r="P91" s="1070"/>
      <c r="Q91" s="1070"/>
      <c r="R91" s="1561"/>
      <c r="S91" s="1070"/>
      <c r="T91" s="1070"/>
      <c r="U91" s="469"/>
      <c r="V91" s="1070"/>
      <c r="W91" s="1070"/>
      <c r="X91" s="1070"/>
      <c r="Y91" s="1070"/>
      <c r="Z91" s="1070"/>
      <c r="AA91" s="1557"/>
      <c r="AB91" s="491"/>
      <c r="AC91" s="491"/>
      <c r="AD91" s="491"/>
      <c r="AE91" s="491"/>
    </row>
    <row r="92" spans="1:31" s="1566" customFormat="1" ht="11.25" customHeight="1">
      <c r="A92" s="903"/>
      <c r="B92" s="1561"/>
      <c r="C92" s="1561"/>
      <c r="D92" s="272"/>
      <c r="K92" s="1070"/>
      <c r="L92" s="1561"/>
      <c r="M92" s="1561"/>
      <c r="N92" s="1070"/>
      <c r="O92" s="1070"/>
      <c r="P92" s="1070"/>
      <c r="Q92" s="1070"/>
      <c r="R92" s="1561"/>
      <c r="S92" s="1070"/>
      <c r="T92" s="1070"/>
      <c r="U92" s="469"/>
      <c r="V92" s="1070"/>
      <c r="W92" s="1070"/>
      <c r="X92" s="1070"/>
      <c r="Y92" s="1070"/>
      <c r="Z92" s="1070"/>
      <c r="AA92" s="1557"/>
      <c r="AB92" s="491"/>
      <c r="AC92" s="491"/>
      <c r="AD92" s="491"/>
      <c r="AE92" s="491"/>
    </row>
    <row r="93" spans="1:31" s="1566" customFormat="1" ht="11.25" customHeight="1">
      <c r="A93" s="903"/>
      <c r="B93" s="1561"/>
      <c r="C93" s="1561"/>
      <c r="D93" s="272"/>
      <c r="K93" s="1070"/>
      <c r="L93" s="1561"/>
      <c r="M93" s="1561"/>
      <c r="N93" s="1070"/>
      <c r="O93" s="1070"/>
      <c r="P93" s="1070"/>
      <c r="Q93" s="1070"/>
      <c r="R93" s="1561"/>
      <c r="S93" s="1070"/>
      <c r="T93" s="1070"/>
      <c r="U93" s="469"/>
      <c r="V93" s="1070"/>
      <c r="W93" s="1070"/>
      <c r="X93" s="1070"/>
      <c r="Y93" s="1070"/>
      <c r="Z93" s="1070"/>
      <c r="AA93" s="1557"/>
      <c r="AB93" s="491"/>
      <c r="AC93" s="491"/>
      <c r="AD93" s="491"/>
      <c r="AE93" s="491"/>
    </row>
    <row r="94" spans="1:31" s="1566" customFormat="1" ht="11.25" customHeight="1">
      <c r="A94" s="903"/>
      <c r="B94" s="1561"/>
      <c r="C94" s="1561"/>
      <c r="D94" s="272"/>
      <c r="K94" s="1070"/>
      <c r="L94" s="1561"/>
      <c r="M94" s="1561"/>
      <c r="N94" s="1070"/>
      <c r="O94" s="1070"/>
      <c r="P94" s="1070"/>
      <c r="Q94" s="1070"/>
      <c r="R94" s="1561"/>
      <c r="S94" s="1070"/>
      <c r="T94" s="1070"/>
      <c r="U94" s="469"/>
      <c r="V94" s="1070"/>
      <c r="W94" s="1070"/>
      <c r="X94" s="1070"/>
      <c r="Y94" s="1070"/>
      <c r="Z94" s="1070"/>
      <c r="AA94" s="1557"/>
      <c r="AB94" s="491"/>
      <c r="AC94" s="491"/>
      <c r="AD94" s="491"/>
      <c r="AE94" s="491"/>
    </row>
    <row r="95" spans="1:31" s="1566" customFormat="1" ht="11.25" customHeight="1">
      <c r="A95" s="903"/>
      <c r="B95" s="1561"/>
      <c r="C95" s="1561"/>
      <c r="D95" s="272"/>
      <c r="K95" s="1070"/>
      <c r="L95" s="1561"/>
      <c r="M95" s="1561"/>
      <c r="N95" s="1070"/>
      <c r="O95" s="1070"/>
      <c r="P95" s="1070"/>
      <c r="Q95" s="1070"/>
      <c r="R95" s="1561"/>
      <c r="S95" s="1070"/>
      <c r="T95" s="1070"/>
      <c r="U95" s="469"/>
      <c r="V95" s="1070"/>
      <c r="W95" s="1070"/>
      <c r="X95" s="1070"/>
      <c r="Y95" s="1070"/>
      <c r="Z95" s="1070"/>
      <c r="AA95" s="1557"/>
      <c r="AB95" s="491"/>
      <c r="AC95" s="491"/>
      <c r="AD95" s="491"/>
      <c r="AE95" s="491"/>
    </row>
    <row r="96" spans="1:31" s="1566" customFormat="1" ht="11.25" customHeight="1">
      <c r="A96" s="903"/>
      <c r="B96" s="1561"/>
      <c r="C96" s="1561"/>
      <c r="D96" s="272"/>
      <c r="K96" s="1070"/>
      <c r="L96" s="1561"/>
      <c r="M96" s="1561"/>
      <c r="N96" s="1070"/>
      <c r="O96" s="1070"/>
      <c r="P96" s="1070"/>
      <c r="Q96" s="1070"/>
      <c r="R96" s="1561"/>
      <c r="S96" s="1070"/>
      <c r="T96" s="1070"/>
      <c r="U96" s="469"/>
      <c r="V96" s="1070"/>
      <c r="W96" s="1070"/>
      <c r="X96" s="1070"/>
      <c r="Y96" s="1070"/>
      <c r="Z96" s="1070"/>
      <c r="AA96" s="1557"/>
      <c r="AB96" s="491"/>
      <c r="AC96" s="491"/>
      <c r="AD96" s="491"/>
      <c r="AE96" s="491"/>
    </row>
    <row r="97" spans="1:31" s="1566" customFormat="1" ht="11.25" customHeight="1">
      <c r="A97" s="903"/>
      <c r="B97" s="1561"/>
      <c r="C97" s="1561"/>
      <c r="D97" s="272"/>
      <c r="K97" s="1070"/>
      <c r="L97" s="1561"/>
      <c r="M97" s="1561"/>
      <c r="N97" s="1070"/>
      <c r="O97" s="1070"/>
      <c r="P97" s="1070"/>
      <c r="Q97" s="1070"/>
      <c r="R97" s="1561"/>
      <c r="S97" s="1070"/>
      <c r="T97" s="1070"/>
      <c r="U97" s="469"/>
      <c r="V97" s="1070"/>
      <c r="W97" s="1070"/>
      <c r="X97" s="1070"/>
      <c r="Y97" s="1070"/>
      <c r="Z97" s="1070"/>
      <c r="AA97" s="1557"/>
      <c r="AB97" s="491"/>
      <c r="AC97" s="491"/>
      <c r="AD97" s="491"/>
      <c r="AE97" s="491"/>
    </row>
    <row r="98" spans="1:31" s="1566" customFormat="1" ht="11.25" customHeight="1">
      <c r="A98" s="903"/>
      <c r="B98" s="1561"/>
      <c r="C98" s="1561"/>
      <c r="D98" s="272"/>
      <c r="K98" s="1070"/>
      <c r="L98" s="1561"/>
      <c r="M98" s="1561"/>
      <c r="N98" s="1070"/>
      <c r="O98" s="1070"/>
      <c r="P98" s="1070"/>
      <c r="Q98" s="1070"/>
      <c r="R98" s="1561"/>
      <c r="S98" s="1070"/>
      <c r="T98" s="1070"/>
      <c r="U98" s="469"/>
      <c r="V98" s="1070"/>
      <c r="W98" s="1070"/>
      <c r="X98" s="1070"/>
      <c r="Y98" s="1070"/>
      <c r="Z98" s="1070"/>
      <c r="AA98" s="1557"/>
      <c r="AB98" s="491"/>
      <c r="AC98" s="491"/>
      <c r="AD98" s="491"/>
      <c r="AE98" s="491"/>
    </row>
    <row r="99" spans="1:31" s="1566" customFormat="1" ht="11.25" customHeight="1">
      <c r="A99" s="903"/>
      <c r="B99" s="1561"/>
      <c r="C99" s="1561"/>
      <c r="D99" s="272"/>
      <c r="K99" s="1070"/>
      <c r="L99" s="1561"/>
      <c r="M99" s="1561"/>
      <c r="N99" s="1070"/>
      <c r="O99" s="1070"/>
      <c r="P99" s="1070"/>
      <c r="Q99" s="1070"/>
      <c r="R99" s="1561"/>
      <c r="S99" s="1070"/>
      <c r="T99" s="1070"/>
      <c r="U99" s="469"/>
      <c r="V99" s="1070"/>
      <c r="W99" s="1070"/>
      <c r="X99" s="1070"/>
      <c r="Y99" s="1070"/>
      <c r="Z99" s="1070"/>
      <c r="AA99" s="1557"/>
      <c r="AB99" s="491"/>
      <c r="AC99" s="491"/>
      <c r="AD99" s="491"/>
      <c r="AE99" s="491"/>
    </row>
    <row r="100" spans="1:31" s="1566" customFormat="1" ht="11.25" customHeight="1">
      <c r="A100" s="903"/>
      <c r="B100" s="1561"/>
      <c r="C100" s="1561"/>
      <c r="D100" s="272"/>
      <c r="K100" s="1070"/>
      <c r="L100" s="1561"/>
      <c r="M100" s="1561"/>
      <c r="N100" s="1070"/>
      <c r="O100" s="1070"/>
      <c r="P100" s="1070"/>
      <c r="Q100" s="1070"/>
      <c r="R100" s="1561"/>
      <c r="S100" s="1070"/>
      <c r="T100" s="1070"/>
      <c r="U100" s="469"/>
      <c r="V100" s="1070"/>
      <c r="W100" s="1070"/>
      <c r="X100" s="1070"/>
      <c r="Y100" s="1070"/>
      <c r="Z100" s="1070"/>
      <c r="AA100" s="1557"/>
      <c r="AB100" s="491"/>
      <c r="AC100" s="491"/>
      <c r="AD100" s="491"/>
      <c r="AE100" s="491"/>
    </row>
    <row r="101" spans="1:31" s="1566" customFormat="1" ht="11.25" customHeight="1">
      <c r="A101" s="903"/>
      <c r="B101" s="1561"/>
      <c r="C101" s="1561"/>
      <c r="D101" s="272"/>
      <c r="K101" s="1070"/>
      <c r="L101" s="1561"/>
      <c r="M101" s="1561"/>
      <c r="N101" s="1070"/>
      <c r="O101" s="1070"/>
      <c r="P101" s="1070"/>
      <c r="Q101" s="1070"/>
      <c r="R101" s="1561"/>
      <c r="S101" s="1070"/>
      <c r="T101" s="1070"/>
      <c r="U101" s="469"/>
      <c r="V101" s="1070"/>
      <c r="W101" s="1070"/>
      <c r="X101" s="1070"/>
      <c r="Y101" s="1070"/>
      <c r="Z101" s="1070"/>
      <c r="AA101" s="1557"/>
      <c r="AB101" s="491"/>
      <c r="AC101" s="491"/>
      <c r="AD101" s="491"/>
      <c r="AE101" s="491"/>
    </row>
    <row r="102" spans="1:31" s="1566" customFormat="1" ht="11.25" customHeight="1">
      <c r="A102" s="903"/>
      <c r="B102" s="1561"/>
      <c r="C102" s="1561"/>
      <c r="D102" s="272"/>
      <c r="K102" s="1070"/>
      <c r="L102" s="1561"/>
      <c r="M102" s="1561"/>
      <c r="N102" s="1070"/>
      <c r="O102" s="1070"/>
      <c r="P102" s="1070"/>
      <c r="Q102" s="1070"/>
      <c r="R102" s="1561"/>
      <c r="S102" s="1070"/>
      <c r="T102" s="1070"/>
      <c r="U102" s="469"/>
      <c r="V102" s="1070"/>
      <c r="W102" s="1070"/>
      <c r="X102" s="1070"/>
      <c r="Y102" s="1070"/>
      <c r="Z102" s="1070"/>
      <c r="AA102" s="1557"/>
      <c r="AB102" s="491"/>
      <c r="AC102" s="491"/>
      <c r="AD102" s="491"/>
      <c r="AE102" s="491"/>
    </row>
    <row r="103" spans="1:31" s="1566" customFormat="1" ht="11.25" customHeight="1">
      <c r="A103" s="903"/>
      <c r="B103" s="1561"/>
      <c r="C103" s="1561"/>
      <c r="D103" s="272"/>
      <c r="K103" s="1070"/>
      <c r="L103" s="1561"/>
      <c r="M103" s="1561"/>
      <c r="N103" s="1070"/>
      <c r="O103" s="1070"/>
      <c r="P103" s="1070"/>
      <c r="Q103" s="1070"/>
      <c r="R103" s="1561"/>
      <c r="S103" s="1070"/>
      <c r="T103" s="1070"/>
      <c r="U103" s="469"/>
      <c r="V103" s="1070"/>
      <c r="W103" s="1070"/>
      <c r="X103" s="1070"/>
      <c r="Y103" s="1070"/>
      <c r="Z103" s="1070"/>
      <c r="AA103" s="1557"/>
      <c r="AB103" s="491"/>
      <c r="AC103" s="491"/>
      <c r="AD103" s="491"/>
      <c r="AE103" s="491"/>
    </row>
    <row r="104" spans="1:31" s="1566" customFormat="1" ht="11.25" customHeight="1">
      <c r="A104" s="903"/>
      <c r="B104" s="1561"/>
      <c r="C104" s="1561"/>
      <c r="D104" s="272"/>
      <c r="K104" s="1070"/>
      <c r="L104" s="1561"/>
      <c r="M104" s="1561"/>
      <c r="N104" s="1070"/>
      <c r="O104" s="1070"/>
      <c r="P104" s="1070"/>
      <c r="Q104" s="1070"/>
      <c r="R104" s="1561"/>
      <c r="S104" s="1070"/>
      <c r="T104" s="1070"/>
      <c r="U104" s="469"/>
      <c r="V104" s="1070"/>
      <c r="W104" s="1070"/>
      <c r="X104" s="1070"/>
      <c r="Y104" s="1070"/>
      <c r="Z104" s="1070"/>
      <c r="AA104" s="1557"/>
      <c r="AB104" s="491"/>
      <c r="AC104" s="491"/>
      <c r="AD104" s="491"/>
      <c r="AE104" s="491"/>
    </row>
    <row r="105" spans="1:31" s="1566" customFormat="1" ht="11.25" customHeight="1">
      <c r="A105" s="903"/>
      <c r="B105" s="1561"/>
      <c r="C105" s="1561"/>
      <c r="D105" s="272"/>
      <c r="K105" s="1070"/>
      <c r="L105" s="1561"/>
      <c r="M105" s="1561"/>
      <c r="N105" s="1070"/>
      <c r="O105" s="1070"/>
      <c r="P105" s="1070"/>
      <c r="Q105" s="1070"/>
      <c r="R105" s="1561"/>
      <c r="S105" s="1070"/>
      <c r="T105" s="1070"/>
      <c r="U105" s="469"/>
      <c r="V105" s="1070"/>
      <c r="W105" s="1070"/>
      <c r="X105" s="1070"/>
      <c r="Y105" s="1070"/>
      <c r="Z105" s="1070"/>
      <c r="AA105" s="1557"/>
      <c r="AB105" s="491"/>
      <c r="AC105" s="491"/>
      <c r="AD105" s="491"/>
      <c r="AE105" s="491"/>
    </row>
    <row r="106" spans="1:31" s="1566" customFormat="1" ht="11.25" customHeight="1">
      <c r="A106" s="903"/>
      <c r="B106" s="1561"/>
      <c r="C106" s="1561"/>
      <c r="D106" s="272"/>
      <c r="K106" s="1070"/>
      <c r="L106" s="1561"/>
      <c r="M106" s="1561"/>
      <c r="N106" s="1070"/>
      <c r="O106" s="1070"/>
      <c r="P106" s="1070"/>
      <c r="Q106" s="1070"/>
      <c r="R106" s="1561"/>
      <c r="S106" s="1070"/>
      <c r="T106" s="1070"/>
      <c r="U106" s="469"/>
      <c r="V106" s="1070"/>
      <c r="W106" s="1070"/>
      <c r="X106" s="1070"/>
      <c r="Y106" s="1070"/>
      <c r="Z106" s="1070"/>
      <c r="AA106" s="1557"/>
      <c r="AB106" s="491"/>
      <c r="AC106" s="491"/>
      <c r="AD106" s="491"/>
      <c r="AE106" s="491"/>
    </row>
    <row r="107" spans="1:31" s="1566" customFormat="1" ht="11.25" customHeight="1">
      <c r="A107" s="903"/>
      <c r="B107" s="1561"/>
      <c r="C107" s="1561"/>
      <c r="D107" s="272"/>
      <c r="K107" s="1070"/>
      <c r="L107" s="1561"/>
      <c r="M107" s="1561"/>
      <c r="N107" s="1070"/>
      <c r="O107" s="1070"/>
      <c r="P107" s="1070"/>
      <c r="Q107" s="1070"/>
      <c r="R107" s="1561"/>
      <c r="S107" s="1070"/>
      <c r="T107" s="1070"/>
      <c r="U107" s="469"/>
      <c r="V107" s="1070"/>
      <c r="W107" s="1070"/>
      <c r="X107" s="1070"/>
      <c r="Y107" s="1070"/>
      <c r="Z107" s="1070"/>
      <c r="AA107" s="1557"/>
      <c r="AB107" s="491"/>
      <c r="AC107" s="491"/>
      <c r="AD107" s="491"/>
      <c r="AE107" s="491"/>
    </row>
    <row r="108" spans="1:31" s="1566" customFormat="1" ht="11.25" customHeight="1">
      <c r="A108" s="903"/>
      <c r="B108" s="1561"/>
      <c r="C108" s="1561"/>
      <c r="D108" s="272"/>
      <c r="K108" s="1070"/>
      <c r="L108" s="1561"/>
      <c r="M108" s="1561"/>
      <c r="N108" s="1070"/>
      <c r="O108" s="1070"/>
      <c r="P108" s="1070"/>
      <c r="Q108" s="1070"/>
      <c r="R108" s="1561"/>
      <c r="S108" s="1070"/>
      <c r="T108" s="1070"/>
      <c r="U108" s="469"/>
      <c r="V108" s="1070"/>
      <c r="W108" s="1070"/>
      <c r="X108" s="1070"/>
      <c r="Y108" s="1070"/>
      <c r="Z108" s="1070"/>
      <c r="AA108" s="1557"/>
      <c r="AB108" s="491"/>
      <c r="AC108" s="491"/>
      <c r="AD108" s="491"/>
      <c r="AE108" s="491"/>
    </row>
    <row r="109" spans="1:31" s="1566" customFormat="1" ht="11.25" customHeight="1">
      <c r="A109" s="903"/>
      <c r="B109" s="1561"/>
      <c r="C109" s="1561"/>
      <c r="D109" s="272"/>
      <c r="K109" s="1070"/>
      <c r="L109" s="1561"/>
      <c r="M109" s="1561"/>
      <c r="N109" s="1070"/>
      <c r="O109" s="1070"/>
      <c r="P109" s="1070"/>
      <c r="Q109" s="1070"/>
      <c r="R109" s="1561"/>
      <c r="S109" s="1070"/>
      <c r="T109" s="1070"/>
      <c r="U109" s="469"/>
      <c r="V109" s="1070"/>
      <c r="W109" s="1070"/>
      <c r="X109" s="1070"/>
      <c r="Y109" s="1070"/>
      <c r="Z109" s="1070"/>
      <c r="AA109" s="1557"/>
      <c r="AB109" s="491"/>
      <c r="AC109" s="491"/>
      <c r="AD109" s="491"/>
      <c r="AE109" s="491"/>
    </row>
    <row r="110" spans="1:31" s="1566" customFormat="1" ht="11.25" customHeight="1">
      <c r="A110" s="903"/>
      <c r="B110" s="1561"/>
      <c r="C110" s="1561"/>
      <c r="D110" s="272"/>
      <c r="K110" s="1070"/>
      <c r="L110" s="1561"/>
      <c r="M110" s="1561"/>
      <c r="N110" s="1070"/>
      <c r="O110" s="1070"/>
      <c r="P110" s="1070"/>
      <c r="Q110" s="1070"/>
      <c r="R110" s="1561"/>
      <c r="S110" s="1070"/>
      <c r="T110" s="1070"/>
      <c r="U110" s="469"/>
      <c r="V110" s="1070"/>
      <c r="W110" s="1070"/>
      <c r="X110" s="1070"/>
      <c r="Y110" s="1070"/>
      <c r="Z110" s="1070"/>
      <c r="AA110" s="1557"/>
      <c r="AB110" s="491"/>
      <c r="AC110" s="491"/>
      <c r="AD110" s="491"/>
      <c r="AE110" s="491"/>
    </row>
    <row r="111" spans="1:31" s="1566" customFormat="1" ht="11.25" customHeight="1">
      <c r="A111" s="903"/>
      <c r="B111" s="1561"/>
      <c r="C111" s="1561"/>
      <c r="D111" s="272"/>
      <c r="K111" s="1070"/>
      <c r="L111" s="1561"/>
      <c r="M111" s="1561"/>
      <c r="N111" s="1070"/>
      <c r="O111" s="1070"/>
      <c r="P111" s="1070"/>
      <c r="Q111" s="1070"/>
      <c r="R111" s="1561"/>
      <c r="S111" s="1070"/>
      <c r="T111" s="1070"/>
      <c r="U111" s="469"/>
      <c r="V111" s="1070"/>
      <c r="W111" s="1070"/>
      <c r="X111" s="1070"/>
      <c r="Y111" s="1070"/>
      <c r="Z111" s="1070"/>
      <c r="AA111" s="1557"/>
      <c r="AB111" s="491"/>
      <c r="AC111" s="491"/>
      <c r="AD111" s="491"/>
      <c r="AE111" s="491"/>
    </row>
    <row r="112" spans="1:31" s="1566" customFormat="1" ht="11.25" customHeight="1">
      <c r="A112" s="903"/>
      <c r="B112" s="1561"/>
      <c r="C112" s="1561"/>
      <c r="D112" s="272"/>
      <c r="K112" s="1070"/>
      <c r="L112" s="1561"/>
      <c r="M112" s="1561"/>
      <c r="N112" s="1070"/>
      <c r="O112" s="1070"/>
      <c r="P112" s="1070"/>
      <c r="Q112" s="1070"/>
      <c r="R112" s="1561"/>
      <c r="S112" s="1070"/>
      <c r="T112" s="1070"/>
      <c r="U112" s="469"/>
      <c r="V112" s="1070"/>
      <c r="W112" s="1070"/>
      <c r="X112" s="1070"/>
      <c r="Y112" s="1070"/>
      <c r="Z112" s="1070"/>
      <c r="AA112" s="1557"/>
      <c r="AB112" s="491"/>
      <c r="AC112" s="491"/>
      <c r="AD112" s="491"/>
      <c r="AE112" s="491"/>
    </row>
    <row r="113" spans="1:31" s="1566" customFormat="1" ht="11.25" customHeight="1">
      <c r="A113" s="903"/>
      <c r="B113" s="1561"/>
      <c r="C113" s="1561"/>
      <c r="D113" s="272"/>
      <c r="K113" s="1070"/>
      <c r="L113" s="1561"/>
      <c r="M113" s="1561"/>
      <c r="N113" s="1070"/>
      <c r="O113" s="1070"/>
      <c r="P113" s="1070"/>
      <c r="Q113" s="1070"/>
      <c r="R113" s="1561"/>
      <c r="S113" s="1070"/>
      <c r="T113" s="1070"/>
      <c r="U113" s="469"/>
      <c r="V113" s="1070"/>
      <c r="W113" s="1070"/>
      <c r="X113" s="1070"/>
      <c r="Y113" s="1070"/>
      <c r="Z113" s="1070"/>
      <c r="AA113" s="1557"/>
      <c r="AB113" s="491"/>
      <c r="AC113" s="491"/>
      <c r="AD113" s="491"/>
      <c r="AE113" s="491"/>
    </row>
    <row r="114" spans="1:31" s="1566" customFormat="1" ht="11.25" customHeight="1">
      <c r="A114" s="903"/>
      <c r="B114" s="1561"/>
      <c r="C114" s="1561"/>
      <c r="D114" s="272"/>
      <c r="K114" s="1070"/>
      <c r="L114" s="1561"/>
      <c r="M114" s="1561"/>
      <c r="N114" s="1070"/>
      <c r="O114" s="1070"/>
      <c r="P114" s="1070"/>
      <c r="Q114" s="1070"/>
      <c r="R114" s="1561"/>
      <c r="S114" s="1070"/>
      <c r="T114" s="1070"/>
      <c r="U114" s="469"/>
      <c r="V114" s="1070"/>
      <c r="W114" s="1070"/>
      <c r="X114" s="1070"/>
      <c r="Y114" s="1070"/>
      <c r="Z114" s="1070"/>
      <c r="AA114" s="1557"/>
      <c r="AB114" s="491"/>
      <c r="AC114" s="491"/>
      <c r="AD114" s="491"/>
      <c r="AE114" s="491"/>
    </row>
    <row r="115" spans="1:31" s="1566" customFormat="1" ht="11.25" customHeight="1">
      <c r="A115" s="903"/>
      <c r="B115" s="1561"/>
      <c r="C115" s="1561"/>
      <c r="D115" s="272"/>
      <c r="K115" s="1070"/>
      <c r="L115" s="1561"/>
      <c r="M115" s="1561"/>
      <c r="N115" s="1070"/>
      <c r="O115" s="1070"/>
      <c r="P115" s="1070"/>
      <c r="Q115" s="1070"/>
      <c r="R115" s="1561"/>
      <c r="S115" s="1070"/>
      <c r="T115" s="1070"/>
      <c r="U115" s="469"/>
      <c r="V115" s="1070"/>
      <c r="W115" s="1070"/>
      <c r="X115" s="1070"/>
      <c r="Y115" s="1070"/>
      <c r="Z115" s="1070"/>
      <c r="AA115" s="1557"/>
      <c r="AB115" s="491"/>
      <c r="AC115" s="491"/>
      <c r="AD115" s="491"/>
      <c r="AE115" s="491"/>
    </row>
    <row r="116" spans="1:31" s="1566" customFormat="1" ht="11.25" customHeight="1">
      <c r="A116" s="903"/>
      <c r="B116" s="1561"/>
      <c r="C116" s="1561"/>
      <c r="D116" s="272"/>
      <c r="K116" s="1070"/>
      <c r="L116" s="1561"/>
      <c r="M116" s="1561"/>
      <c r="N116" s="1070"/>
      <c r="O116" s="1070"/>
      <c r="P116" s="1070"/>
      <c r="Q116" s="1070"/>
      <c r="R116" s="1561"/>
      <c r="S116" s="1070"/>
      <c r="T116" s="1070"/>
      <c r="U116" s="469"/>
      <c r="V116" s="1070"/>
      <c r="W116" s="1070"/>
      <c r="X116" s="1070"/>
      <c r="Y116" s="1070"/>
      <c r="Z116" s="1070"/>
      <c r="AA116" s="1557"/>
      <c r="AB116" s="491"/>
      <c r="AC116" s="491"/>
      <c r="AD116" s="491"/>
      <c r="AE116" s="491"/>
    </row>
    <row r="117" spans="1:31" s="1566" customFormat="1" ht="11.25" customHeight="1">
      <c r="A117" s="903"/>
      <c r="B117" s="1561"/>
      <c r="C117" s="1561"/>
      <c r="D117" s="272"/>
      <c r="K117" s="1070"/>
      <c r="L117" s="1561"/>
      <c r="M117" s="1561"/>
      <c r="N117" s="1070"/>
      <c r="O117" s="1070"/>
      <c r="P117" s="1070"/>
      <c r="Q117" s="1070"/>
      <c r="R117" s="1561"/>
      <c r="S117" s="1070"/>
      <c r="T117" s="1070"/>
      <c r="U117" s="469"/>
      <c r="V117" s="1070"/>
      <c r="W117" s="1070"/>
      <c r="X117" s="1070"/>
      <c r="Y117" s="1070"/>
      <c r="Z117" s="1070"/>
      <c r="AA117" s="1557"/>
      <c r="AB117" s="491"/>
      <c r="AC117" s="491"/>
      <c r="AD117" s="491"/>
      <c r="AE117" s="491"/>
    </row>
    <row r="118" spans="1:31" s="1566" customFormat="1" ht="11.25" customHeight="1">
      <c r="A118" s="903"/>
      <c r="B118" s="1561"/>
      <c r="C118" s="1561"/>
      <c r="D118" s="272"/>
      <c r="K118" s="1070"/>
      <c r="L118" s="1561"/>
      <c r="M118" s="1561"/>
      <c r="N118" s="1070"/>
      <c r="O118" s="1070"/>
      <c r="P118" s="1070"/>
      <c r="Q118" s="1070"/>
      <c r="R118" s="1561"/>
      <c r="S118" s="1070"/>
      <c r="T118" s="1070"/>
      <c r="U118" s="469"/>
      <c r="V118" s="1070"/>
      <c r="W118" s="1070"/>
      <c r="X118" s="1070"/>
      <c r="Y118" s="1070"/>
      <c r="Z118" s="1070"/>
      <c r="AA118" s="1557"/>
      <c r="AB118" s="491"/>
      <c r="AC118" s="491"/>
      <c r="AD118" s="491"/>
      <c r="AE118" s="491"/>
    </row>
    <row r="119" spans="1:31" s="1566" customFormat="1" ht="11.25" customHeight="1">
      <c r="A119" s="903"/>
      <c r="B119" s="1561"/>
      <c r="C119" s="1561"/>
      <c r="D119" s="272"/>
      <c r="K119" s="1070"/>
      <c r="L119" s="1561"/>
      <c r="M119" s="1561"/>
      <c r="N119" s="1070"/>
      <c r="O119" s="1070"/>
      <c r="P119" s="1070"/>
      <c r="Q119" s="1070"/>
      <c r="R119" s="1561"/>
      <c r="S119" s="1070"/>
      <c r="T119" s="1070"/>
      <c r="U119" s="469"/>
      <c r="V119" s="1070"/>
      <c r="W119" s="1070"/>
      <c r="X119" s="1070"/>
      <c r="Y119" s="1070"/>
      <c r="Z119" s="1070"/>
      <c r="AA119" s="1557"/>
      <c r="AB119" s="491"/>
      <c r="AC119" s="491"/>
      <c r="AD119" s="491"/>
      <c r="AE119" s="491"/>
    </row>
    <row r="120" spans="1:31" s="1566" customFormat="1" ht="11.25" customHeight="1">
      <c r="A120" s="903"/>
      <c r="B120" s="1561"/>
      <c r="C120" s="1561"/>
      <c r="D120" s="272"/>
      <c r="K120" s="1070"/>
      <c r="L120" s="1561"/>
      <c r="M120" s="1561"/>
      <c r="N120" s="1070"/>
      <c r="O120" s="1070"/>
      <c r="P120" s="1070"/>
      <c r="Q120" s="1070"/>
      <c r="R120" s="1561"/>
      <c r="S120" s="1070"/>
      <c r="T120" s="1070"/>
      <c r="U120" s="469"/>
      <c r="V120" s="1070"/>
      <c r="W120" s="1070"/>
      <c r="X120" s="1070"/>
      <c r="Y120" s="1070"/>
      <c r="Z120" s="1070"/>
      <c r="AA120" s="1557"/>
      <c r="AB120" s="491"/>
      <c r="AC120" s="491"/>
      <c r="AD120" s="491"/>
      <c r="AE120" s="491"/>
    </row>
    <row r="121" spans="1:31" s="1566" customFormat="1" ht="11.25" customHeight="1">
      <c r="A121" s="903"/>
      <c r="B121" s="1561"/>
      <c r="C121" s="1561"/>
      <c r="D121" s="272"/>
      <c r="K121" s="1070"/>
      <c r="L121" s="1561"/>
      <c r="M121" s="1561"/>
      <c r="N121" s="1070"/>
      <c r="O121" s="1070"/>
      <c r="P121" s="1070"/>
      <c r="Q121" s="1070"/>
      <c r="R121" s="1561"/>
      <c r="S121" s="1070"/>
      <c r="T121" s="1070"/>
      <c r="U121" s="469"/>
      <c r="V121" s="1070"/>
      <c r="W121" s="1070"/>
      <c r="X121" s="1070"/>
      <c r="Y121" s="1070"/>
      <c r="Z121" s="1070"/>
      <c r="AA121" s="1557"/>
      <c r="AB121" s="491"/>
      <c r="AC121" s="491"/>
      <c r="AD121" s="491"/>
      <c r="AE121" s="491"/>
    </row>
    <row r="122" spans="1:31" s="1566" customFormat="1" ht="11.25" customHeight="1">
      <c r="A122" s="903"/>
      <c r="B122" s="1561"/>
      <c r="C122" s="1561"/>
      <c r="D122" s="272"/>
      <c r="K122" s="1070"/>
      <c r="L122" s="1561"/>
      <c r="M122" s="1561"/>
      <c r="N122" s="1070"/>
      <c r="O122" s="1070"/>
      <c r="P122" s="1070"/>
      <c r="Q122" s="1070"/>
      <c r="R122" s="1561"/>
      <c r="S122" s="1070"/>
      <c r="T122" s="1070"/>
      <c r="U122" s="469"/>
      <c r="V122" s="1070"/>
      <c r="W122" s="1070"/>
      <c r="X122" s="1070"/>
      <c r="Y122" s="1070"/>
      <c r="Z122" s="1070"/>
      <c r="AA122" s="1557"/>
      <c r="AB122" s="491"/>
      <c r="AC122" s="491"/>
      <c r="AD122" s="491"/>
      <c r="AE122" s="491"/>
    </row>
    <row r="123" spans="1:31" s="1566" customFormat="1" ht="11.25" customHeight="1">
      <c r="A123" s="903"/>
      <c r="B123" s="1561"/>
      <c r="C123" s="1561"/>
      <c r="D123" s="272"/>
      <c r="K123" s="1070"/>
      <c r="L123" s="1561"/>
      <c r="M123" s="1561"/>
      <c r="N123" s="1070"/>
      <c r="O123" s="1070"/>
      <c r="P123" s="1070"/>
      <c r="Q123" s="1070"/>
      <c r="R123" s="1561"/>
      <c r="S123" s="1070"/>
      <c r="T123" s="1070"/>
      <c r="U123" s="469"/>
      <c r="V123" s="1070"/>
      <c r="W123" s="1070"/>
      <c r="X123" s="1070"/>
      <c r="Y123" s="1070"/>
      <c r="Z123" s="1070"/>
      <c r="AA123" s="1557"/>
      <c r="AB123" s="491"/>
      <c r="AC123" s="491"/>
      <c r="AD123" s="491"/>
      <c r="AE123" s="491"/>
    </row>
    <row r="124" spans="1:31" s="1566" customFormat="1" ht="11.25" customHeight="1">
      <c r="A124" s="903"/>
      <c r="B124" s="1561"/>
      <c r="C124" s="1561"/>
      <c r="D124" s="272"/>
      <c r="K124" s="1070"/>
      <c r="L124" s="1561"/>
      <c r="M124" s="1561"/>
      <c r="N124" s="1070"/>
      <c r="O124" s="1070"/>
      <c r="P124" s="1070"/>
      <c r="Q124" s="1070"/>
      <c r="R124" s="1561"/>
      <c r="S124" s="1070"/>
      <c r="T124" s="1070"/>
      <c r="U124" s="469"/>
      <c r="V124" s="1070"/>
      <c r="W124" s="1070"/>
      <c r="X124" s="1070"/>
      <c r="Y124" s="1070"/>
      <c r="Z124" s="1070"/>
      <c r="AA124" s="1557"/>
      <c r="AB124" s="491"/>
      <c r="AC124" s="491"/>
      <c r="AD124" s="491"/>
      <c r="AE124" s="491"/>
    </row>
    <row r="125" spans="1:31" s="1566" customFormat="1" ht="11.25" customHeight="1">
      <c r="A125" s="903"/>
      <c r="B125" s="1561"/>
      <c r="C125" s="1561"/>
      <c r="D125" s="272"/>
      <c r="K125" s="1070"/>
      <c r="L125" s="1561"/>
      <c r="M125" s="1561"/>
      <c r="N125" s="1070"/>
      <c r="O125" s="1070"/>
      <c r="P125" s="1070"/>
      <c r="Q125" s="1070"/>
      <c r="R125" s="1561"/>
      <c r="S125" s="1070"/>
      <c r="T125" s="1070"/>
      <c r="U125" s="469"/>
      <c r="V125" s="1070"/>
      <c r="W125" s="1070"/>
      <c r="X125" s="1070"/>
      <c r="Y125" s="1070"/>
      <c r="Z125" s="1070"/>
      <c r="AA125" s="1557"/>
      <c r="AB125" s="491"/>
      <c r="AC125" s="491"/>
      <c r="AD125" s="491"/>
      <c r="AE125" s="491"/>
    </row>
    <row r="126" spans="1:31" s="1566" customFormat="1" ht="11.25" customHeight="1">
      <c r="A126" s="903"/>
      <c r="B126" s="1561"/>
      <c r="C126" s="1561"/>
      <c r="D126" s="272"/>
      <c r="K126" s="1070"/>
      <c r="L126" s="1561"/>
      <c r="M126" s="1561"/>
      <c r="N126" s="1070"/>
      <c r="O126" s="1070"/>
      <c r="P126" s="1070"/>
      <c r="Q126" s="1070"/>
      <c r="R126" s="1561"/>
      <c r="S126" s="1070"/>
      <c r="T126" s="1070"/>
      <c r="U126" s="469"/>
      <c r="V126" s="1070"/>
      <c r="W126" s="1070"/>
      <c r="X126" s="1070"/>
      <c r="Y126" s="1070"/>
      <c r="Z126" s="1070"/>
      <c r="AA126" s="1557"/>
      <c r="AB126" s="491"/>
      <c r="AC126" s="491"/>
      <c r="AD126" s="491"/>
      <c r="AE126" s="491"/>
    </row>
    <row r="127" spans="1:31" s="1566" customFormat="1" ht="11.25" customHeight="1">
      <c r="A127" s="903"/>
      <c r="B127" s="1561"/>
      <c r="C127" s="1561"/>
      <c r="D127" s="272"/>
      <c r="K127" s="1070"/>
      <c r="L127" s="1561"/>
      <c r="M127" s="1561"/>
      <c r="N127" s="1070"/>
      <c r="O127" s="1070"/>
      <c r="P127" s="1070"/>
      <c r="Q127" s="1070"/>
      <c r="R127" s="1561"/>
      <c r="S127" s="1070"/>
      <c r="T127" s="1070"/>
      <c r="U127" s="469"/>
      <c r="V127" s="1070"/>
      <c r="W127" s="1070"/>
      <c r="X127" s="1070"/>
      <c r="Y127" s="1070"/>
      <c r="Z127" s="1070"/>
      <c r="AA127" s="1557"/>
      <c r="AB127" s="491"/>
      <c r="AC127" s="491"/>
      <c r="AD127" s="491"/>
      <c r="AE127" s="491"/>
    </row>
    <row r="128" spans="1:31" s="1566" customFormat="1" ht="11.25" customHeight="1">
      <c r="A128" s="903"/>
      <c r="B128" s="1561"/>
      <c r="C128" s="1561"/>
      <c r="D128" s="272"/>
      <c r="K128" s="1070"/>
      <c r="L128" s="1561"/>
      <c r="M128" s="1561"/>
      <c r="N128" s="1070"/>
      <c r="O128" s="1070"/>
      <c r="P128" s="1070"/>
      <c r="Q128" s="1070"/>
      <c r="R128" s="1561"/>
      <c r="S128" s="1070"/>
      <c r="T128" s="1070"/>
      <c r="U128" s="469"/>
      <c r="V128" s="1070"/>
      <c r="W128" s="1070"/>
      <c r="X128" s="1070"/>
      <c r="Y128" s="1070"/>
      <c r="Z128" s="1070"/>
      <c r="AA128" s="1557"/>
      <c r="AB128" s="491"/>
      <c r="AC128" s="491"/>
      <c r="AD128" s="491"/>
      <c r="AE128" s="491"/>
    </row>
    <row r="129" spans="1:31" s="1566" customFormat="1" ht="11.25" customHeight="1">
      <c r="A129" s="903"/>
      <c r="B129" s="1561"/>
      <c r="C129" s="1561"/>
      <c r="D129" s="272"/>
      <c r="K129" s="1070"/>
      <c r="L129" s="1561"/>
      <c r="M129" s="1561"/>
      <c r="N129" s="1070"/>
      <c r="O129" s="1070"/>
      <c r="P129" s="1070"/>
      <c r="Q129" s="1070"/>
      <c r="R129" s="1561"/>
      <c r="S129" s="1070"/>
      <c r="T129" s="1070"/>
      <c r="U129" s="469"/>
      <c r="V129" s="1070"/>
      <c r="W129" s="1070"/>
      <c r="X129" s="1070"/>
      <c r="Y129" s="1070"/>
      <c r="Z129" s="1070"/>
      <c r="AA129" s="1557"/>
      <c r="AB129" s="491"/>
      <c r="AC129" s="491"/>
      <c r="AD129" s="491"/>
      <c r="AE129" s="491"/>
    </row>
    <row r="130" spans="1:31" s="1566" customFormat="1" ht="11.25" customHeight="1">
      <c r="A130" s="903"/>
      <c r="B130" s="1561"/>
      <c r="C130" s="1561"/>
      <c r="D130" s="272"/>
      <c r="K130" s="1070"/>
      <c r="L130" s="1561"/>
      <c r="M130" s="1561"/>
      <c r="N130" s="1070"/>
      <c r="O130" s="1070"/>
      <c r="P130" s="1070"/>
      <c r="Q130" s="1070"/>
      <c r="R130" s="1561"/>
      <c r="S130" s="1070"/>
      <c r="T130" s="1070"/>
      <c r="U130" s="469"/>
      <c r="V130" s="1070"/>
      <c r="W130" s="1070"/>
      <c r="X130" s="1070"/>
      <c r="Y130" s="1070"/>
      <c r="Z130" s="1070"/>
      <c r="AA130" s="1557"/>
      <c r="AB130" s="491"/>
      <c r="AC130" s="491"/>
      <c r="AD130" s="491"/>
      <c r="AE130" s="491"/>
    </row>
    <row r="131" spans="1:31" s="1566" customFormat="1" ht="11.25" customHeight="1">
      <c r="A131" s="903"/>
      <c r="B131" s="1561"/>
      <c r="C131" s="1561"/>
      <c r="D131" s="272"/>
      <c r="K131" s="1070"/>
      <c r="L131" s="1561"/>
      <c r="M131" s="1561"/>
      <c r="N131" s="1070"/>
      <c r="O131" s="1070"/>
      <c r="P131" s="1070"/>
      <c r="Q131" s="1070"/>
      <c r="R131" s="1561"/>
      <c r="S131" s="1070"/>
      <c r="T131" s="1070"/>
      <c r="U131" s="469"/>
      <c r="V131" s="1070"/>
      <c r="W131" s="1070"/>
      <c r="X131" s="1070"/>
      <c r="Y131" s="1070"/>
      <c r="Z131" s="1070"/>
      <c r="AA131" s="1557"/>
      <c r="AB131" s="491"/>
      <c r="AC131" s="491"/>
      <c r="AD131" s="491"/>
      <c r="AE131" s="491"/>
    </row>
    <row r="132" spans="1:31" s="1566" customFormat="1" ht="11.25" customHeight="1">
      <c r="A132" s="903"/>
      <c r="B132" s="1561"/>
      <c r="C132" s="1561"/>
      <c r="D132" s="272"/>
      <c r="K132" s="1070"/>
      <c r="L132" s="1561"/>
      <c r="M132" s="1561"/>
      <c r="N132" s="1070"/>
      <c r="O132" s="1070"/>
      <c r="P132" s="1070"/>
      <c r="Q132" s="1070"/>
      <c r="R132" s="1561"/>
      <c r="S132" s="1070"/>
      <c r="T132" s="1070"/>
      <c r="U132" s="469"/>
      <c r="V132" s="1070"/>
      <c r="W132" s="1070"/>
      <c r="X132" s="1070"/>
      <c r="Y132" s="1070"/>
      <c r="Z132" s="1070"/>
      <c r="AA132" s="1557"/>
      <c r="AB132" s="491"/>
      <c r="AC132" s="491"/>
      <c r="AD132" s="491"/>
      <c r="AE132" s="491"/>
    </row>
    <row r="133" spans="1:31" s="1566" customFormat="1" ht="11.25" customHeight="1">
      <c r="A133" s="903"/>
      <c r="B133" s="1561"/>
      <c r="C133" s="1561"/>
      <c r="D133" s="272"/>
      <c r="K133" s="1070"/>
      <c r="L133" s="1561"/>
      <c r="M133" s="1561"/>
      <c r="N133" s="1070"/>
      <c r="O133" s="1070"/>
      <c r="P133" s="1070"/>
      <c r="Q133" s="1070"/>
      <c r="R133" s="1561"/>
      <c r="S133" s="1070"/>
      <c r="T133" s="1070"/>
      <c r="U133" s="469"/>
      <c r="V133" s="1070"/>
      <c r="W133" s="1070"/>
      <c r="X133" s="1070"/>
      <c r="Y133" s="1070"/>
      <c r="Z133" s="1070"/>
      <c r="AA133" s="1557"/>
      <c r="AB133" s="491"/>
      <c r="AC133" s="491"/>
      <c r="AD133" s="491"/>
      <c r="AE133" s="491"/>
    </row>
    <row r="134" spans="1:31" s="1566" customFormat="1" ht="11.25" customHeight="1">
      <c r="A134" s="903"/>
      <c r="B134" s="1561"/>
      <c r="C134" s="1561"/>
      <c r="D134" s="272"/>
      <c r="K134" s="1070"/>
      <c r="L134" s="1561"/>
      <c r="M134" s="1561"/>
      <c r="N134" s="1070"/>
      <c r="O134" s="1070"/>
      <c r="P134" s="1070"/>
      <c r="Q134" s="1070"/>
      <c r="R134" s="1561"/>
      <c r="S134" s="1070"/>
      <c r="T134" s="1070"/>
      <c r="U134" s="469"/>
      <c r="V134" s="1070"/>
      <c r="W134" s="1070"/>
      <c r="X134" s="1070"/>
      <c r="Y134" s="1070"/>
      <c r="Z134" s="1070"/>
      <c r="AA134" s="1557"/>
      <c r="AB134" s="491"/>
      <c r="AC134" s="491"/>
      <c r="AD134" s="491"/>
      <c r="AE134" s="491"/>
    </row>
    <row r="135" spans="1:31" s="1566" customFormat="1" ht="11.25" customHeight="1">
      <c r="A135" s="903"/>
      <c r="B135" s="1561"/>
      <c r="C135" s="1561"/>
      <c r="D135" s="272"/>
      <c r="K135" s="1070"/>
      <c r="L135" s="1561"/>
      <c r="M135" s="1561"/>
      <c r="N135" s="1070"/>
      <c r="O135" s="1070"/>
      <c r="P135" s="1070"/>
      <c r="Q135" s="1070"/>
      <c r="R135" s="1561"/>
      <c r="S135" s="1070"/>
      <c r="T135" s="1070"/>
      <c r="U135" s="469"/>
      <c r="V135" s="1070"/>
      <c r="W135" s="1070"/>
      <c r="X135" s="1070"/>
      <c r="Y135" s="1070"/>
      <c r="Z135" s="1070"/>
      <c r="AA135" s="1557"/>
      <c r="AB135" s="491"/>
      <c r="AC135" s="491"/>
      <c r="AD135" s="491"/>
      <c r="AE135" s="491"/>
    </row>
    <row r="136" spans="1:31" s="1566" customFormat="1" ht="11.25" customHeight="1">
      <c r="A136" s="903"/>
      <c r="B136" s="1561"/>
      <c r="C136" s="1561"/>
      <c r="D136" s="272"/>
      <c r="K136" s="1070"/>
      <c r="L136" s="1561"/>
      <c r="M136" s="1561"/>
      <c r="N136" s="1070"/>
      <c r="O136" s="1070"/>
      <c r="P136" s="1070"/>
      <c r="Q136" s="1070"/>
      <c r="R136" s="1561"/>
      <c r="S136" s="1070"/>
      <c r="T136" s="1070"/>
      <c r="U136" s="469"/>
      <c r="V136" s="1070"/>
      <c r="W136" s="1070"/>
      <c r="X136" s="1070"/>
      <c r="Y136" s="1070"/>
      <c r="Z136" s="1070"/>
      <c r="AA136" s="1557"/>
      <c r="AB136" s="491"/>
      <c r="AC136" s="491"/>
      <c r="AD136" s="491"/>
      <c r="AE136" s="491"/>
    </row>
    <row r="137" spans="1:31" s="1566" customFormat="1" ht="11.25" customHeight="1">
      <c r="A137" s="903"/>
      <c r="B137" s="1561"/>
      <c r="C137" s="1561"/>
      <c r="D137" s="272"/>
      <c r="K137" s="1070"/>
      <c r="L137" s="1561"/>
      <c r="M137" s="1561"/>
      <c r="N137" s="1070"/>
      <c r="O137" s="1070"/>
      <c r="P137" s="1070"/>
      <c r="Q137" s="1070"/>
      <c r="R137" s="1561"/>
      <c r="S137" s="1070"/>
      <c r="T137" s="1070"/>
      <c r="U137" s="469"/>
      <c r="V137" s="1070"/>
      <c r="W137" s="1070"/>
      <c r="X137" s="1070"/>
      <c r="Y137" s="1070"/>
      <c r="Z137" s="1070"/>
      <c r="AA137" s="1557"/>
      <c r="AB137" s="491"/>
      <c r="AC137" s="491"/>
      <c r="AD137" s="491"/>
      <c r="AE137" s="491"/>
    </row>
    <row r="138" spans="1:31" s="1566" customFormat="1" ht="11.25" customHeight="1">
      <c r="A138" s="903"/>
      <c r="B138" s="1561"/>
      <c r="C138" s="1561"/>
      <c r="D138" s="272"/>
      <c r="K138" s="1070"/>
      <c r="L138" s="1561"/>
      <c r="M138" s="1561"/>
      <c r="N138" s="1070"/>
      <c r="O138" s="1070"/>
      <c r="P138" s="1070"/>
      <c r="Q138" s="1070"/>
      <c r="R138" s="1561"/>
      <c r="S138" s="1070"/>
      <c r="T138" s="1070"/>
      <c r="U138" s="469"/>
      <c r="V138" s="1070"/>
      <c r="W138" s="1070"/>
      <c r="X138" s="1070"/>
      <c r="Y138" s="1070"/>
      <c r="Z138" s="1070"/>
      <c r="AA138" s="1557"/>
      <c r="AB138" s="491"/>
      <c r="AC138" s="491"/>
      <c r="AD138" s="491"/>
      <c r="AE138" s="491"/>
    </row>
    <row r="139" spans="1:31" s="1566" customFormat="1" ht="11.25" customHeight="1">
      <c r="A139" s="903"/>
      <c r="B139" s="1561"/>
      <c r="C139" s="1561"/>
      <c r="D139" s="272"/>
      <c r="K139" s="1070"/>
      <c r="L139" s="1561"/>
      <c r="M139" s="1561"/>
      <c r="N139" s="1070"/>
      <c r="O139" s="1070"/>
      <c r="P139" s="1070"/>
      <c r="Q139" s="1070"/>
      <c r="R139" s="1561"/>
      <c r="S139" s="1070"/>
      <c r="T139" s="1070"/>
      <c r="U139" s="469"/>
      <c r="V139" s="1070"/>
      <c r="W139" s="1070"/>
      <c r="X139" s="1070"/>
      <c r="Y139" s="1070"/>
      <c r="Z139" s="1070"/>
      <c r="AA139" s="1557"/>
      <c r="AB139" s="491"/>
      <c r="AC139" s="491"/>
      <c r="AD139" s="491"/>
      <c r="AE139" s="491"/>
    </row>
    <row r="140" spans="1:31" s="1566" customFormat="1" ht="11.25" customHeight="1">
      <c r="A140" s="903"/>
      <c r="B140" s="1561"/>
      <c r="C140" s="1561"/>
      <c r="D140" s="272"/>
      <c r="K140" s="1070"/>
      <c r="L140" s="1561"/>
      <c r="M140" s="1561"/>
      <c r="N140" s="1070"/>
      <c r="O140" s="1070"/>
      <c r="P140" s="1070"/>
      <c r="Q140" s="1070"/>
      <c r="R140" s="1561"/>
      <c r="S140" s="1070"/>
      <c r="T140" s="1070"/>
      <c r="U140" s="469"/>
      <c r="V140" s="1070"/>
      <c r="W140" s="1070"/>
      <c r="X140" s="1070"/>
      <c r="Y140" s="1070"/>
      <c r="Z140" s="1070"/>
      <c r="AA140" s="1557"/>
      <c r="AB140" s="491"/>
      <c r="AC140" s="491"/>
      <c r="AD140" s="491"/>
      <c r="AE140" s="491"/>
    </row>
    <row r="141" spans="1:31" s="1566" customFormat="1" ht="11.25" customHeight="1">
      <c r="A141" s="903"/>
      <c r="B141" s="1561"/>
      <c r="C141" s="1561"/>
      <c r="D141" s="272"/>
      <c r="K141" s="1070"/>
      <c r="L141" s="1561"/>
      <c r="M141" s="1561"/>
      <c r="N141" s="1070"/>
      <c r="O141" s="1070"/>
      <c r="P141" s="1070"/>
      <c r="Q141" s="1070"/>
      <c r="R141" s="1561"/>
      <c r="S141" s="1070"/>
      <c r="T141" s="1070"/>
      <c r="U141" s="469"/>
      <c r="V141" s="1070"/>
      <c r="W141" s="1070"/>
      <c r="X141" s="1070"/>
      <c r="Y141" s="1070"/>
      <c r="Z141" s="1070"/>
      <c r="AA141" s="1557"/>
      <c r="AB141" s="491"/>
      <c r="AC141" s="491"/>
      <c r="AD141" s="491"/>
      <c r="AE141" s="491"/>
    </row>
    <row r="142" spans="1:31" s="1566" customFormat="1" ht="11.25" customHeight="1">
      <c r="A142" s="903"/>
      <c r="B142" s="1561"/>
      <c r="C142" s="1561"/>
      <c r="D142" s="272"/>
      <c r="K142" s="1070"/>
      <c r="L142" s="1561"/>
      <c r="M142" s="1561"/>
      <c r="N142" s="1070"/>
      <c r="O142" s="1070"/>
      <c r="P142" s="1070"/>
      <c r="Q142" s="1070"/>
      <c r="R142" s="1561"/>
      <c r="S142" s="1070"/>
      <c r="T142" s="1070"/>
      <c r="U142" s="469"/>
      <c r="V142" s="1070"/>
      <c r="W142" s="1070"/>
      <c r="X142" s="1070"/>
      <c r="Y142" s="1070"/>
      <c r="Z142" s="1070"/>
      <c r="AA142" s="1557"/>
      <c r="AB142" s="491"/>
      <c r="AC142" s="491"/>
      <c r="AD142" s="491"/>
      <c r="AE142" s="491"/>
    </row>
    <row r="143" spans="1:31" s="1566" customFormat="1" ht="11.25" customHeight="1">
      <c r="A143" s="903"/>
      <c r="B143" s="1561"/>
      <c r="C143" s="1561"/>
      <c r="D143" s="272"/>
      <c r="K143" s="1070"/>
      <c r="L143" s="1561"/>
      <c r="M143" s="1561"/>
      <c r="N143" s="1070"/>
      <c r="O143" s="1070"/>
      <c r="P143" s="1070"/>
      <c r="Q143" s="1070"/>
      <c r="R143" s="1561"/>
      <c r="S143" s="1070"/>
      <c r="T143" s="1070"/>
      <c r="U143" s="469"/>
      <c r="V143" s="1070"/>
      <c r="W143" s="1070"/>
      <c r="X143" s="1070"/>
      <c r="Y143" s="1070"/>
      <c r="Z143" s="1070"/>
      <c r="AA143" s="1557"/>
      <c r="AB143" s="491"/>
      <c r="AC143" s="491"/>
      <c r="AD143" s="491"/>
      <c r="AE143" s="491"/>
    </row>
    <row r="144" spans="1:31" s="1566" customFormat="1" ht="11.25" customHeight="1">
      <c r="A144" s="903"/>
      <c r="B144" s="1561"/>
      <c r="C144" s="1561"/>
      <c r="D144" s="272"/>
      <c r="K144" s="1070"/>
      <c r="L144" s="1561"/>
      <c r="M144" s="1561"/>
      <c r="N144" s="1070"/>
      <c r="O144" s="1070"/>
      <c r="P144" s="1070"/>
      <c r="Q144" s="1070"/>
      <c r="R144" s="1561"/>
      <c r="S144" s="1070"/>
      <c r="T144" s="1070"/>
      <c r="U144" s="469"/>
      <c r="V144" s="1070"/>
      <c r="W144" s="1070"/>
      <c r="X144" s="1070"/>
      <c r="Y144" s="1070"/>
      <c r="Z144" s="1070"/>
      <c r="AA144" s="1557"/>
      <c r="AB144" s="491"/>
      <c r="AC144" s="491"/>
      <c r="AD144" s="491"/>
      <c r="AE144" s="491"/>
    </row>
    <row r="145" spans="1:31" s="1566" customFormat="1" ht="11.25" customHeight="1">
      <c r="A145" s="903"/>
      <c r="B145" s="1561"/>
      <c r="C145" s="1561"/>
      <c r="D145" s="272"/>
      <c r="K145" s="1070"/>
      <c r="L145" s="1561"/>
      <c r="M145" s="1561"/>
      <c r="N145" s="1070"/>
      <c r="O145" s="1070"/>
      <c r="P145" s="1070"/>
      <c r="Q145" s="1070"/>
      <c r="R145" s="1561"/>
      <c r="S145" s="1070"/>
      <c r="T145" s="1070"/>
      <c r="U145" s="469"/>
      <c r="V145" s="1070"/>
      <c r="W145" s="1070"/>
      <c r="X145" s="1070"/>
      <c r="Y145" s="1070"/>
      <c r="Z145" s="1070"/>
      <c r="AA145" s="1557"/>
      <c r="AB145" s="491"/>
      <c r="AC145" s="491"/>
      <c r="AD145" s="491"/>
      <c r="AE145" s="491"/>
    </row>
    <row r="146" spans="1:31" s="1566" customFormat="1" ht="11.25" customHeight="1">
      <c r="A146" s="903"/>
      <c r="B146" s="1561"/>
      <c r="C146" s="1561"/>
      <c r="D146" s="272"/>
      <c r="K146" s="1070"/>
      <c r="L146" s="1561"/>
      <c r="M146" s="1561"/>
      <c r="N146" s="1070"/>
      <c r="O146" s="1070"/>
      <c r="P146" s="1070"/>
      <c r="Q146" s="1070"/>
      <c r="R146" s="1561"/>
      <c r="S146" s="1070"/>
      <c r="T146" s="1070"/>
      <c r="U146" s="469"/>
      <c r="V146" s="1070"/>
      <c r="W146" s="1070"/>
      <c r="X146" s="1070"/>
      <c r="Y146" s="1070"/>
      <c r="Z146" s="1070"/>
      <c r="AA146" s="1557"/>
      <c r="AB146" s="491"/>
      <c r="AC146" s="491"/>
      <c r="AD146" s="491"/>
      <c r="AE146" s="491"/>
    </row>
    <row r="147" spans="1:31" s="1566" customFormat="1" ht="11.25" customHeight="1">
      <c r="A147" s="903"/>
      <c r="B147" s="1561"/>
      <c r="C147" s="1561"/>
      <c r="D147" s="272"/>
      <c r="K147" s="1070"/>
      <c r="L147" s="1561"/>
      <c r="M147" s="1561"/>
      <c r="N147" s="1070"/>
      <c r="O147" s="1070"/>
      <c r="P147" s="1070"/>
      <c r="Q147" s="1070"/>
      <c r="R147" s="1561"/>
      <c r="S147" s="1070"/>
      <c r="T147" s="1070"/>
      <c r="U147" s="469"/>
      <c r="V147" s="1070"/>
      <c r="W147" s="1070"/>
      <c r="X147" s="1070"/>
      <c r="Y147" s="1070"/>
      <c r="Z147" s="1070"/>
      <c r="AA147" s="1557"/>
      <c r="AB147" s="491"/>
      <c r="AC147" s="491"/>
      <c r="AD147" s="491"/>
      <c r="AE147" s="491"/>
    </row>
    <row r="148" spans="1:31" s="1566" customFormat="1" ht="11.25" customHeight="1">
      <c r="A148" s="903"/>
      <c r="B148" s="1561"/>
      <c r="C148" s="1561"/>
      <c r="D148" s="272"/>
      <c r="K148" s="1070"/>
      <c r="L148" s="1561"/>
      <c r="M148" s="1561"/>
      <c r="N148" s="1070"/>
      <c r="O148" s="1070"/>
      <c r="P148" s="1070"/>
      <c r="Q148" s="1070"/>
      <c r="R148" s="1561"/>
      <c r="S148" s="1070"/>
      <c r="T148" s="1070"/>
      <c r="U148" s="469"/>
      <c r="V148" s="1070"/>
      <c r="W148" s="1070"/>
      <c r="X148" s="1070"/>
      <c r="Y148" s="1070"/>
      <c r="Z148" s="1070"/>
      <c r="AA148" s="1557"/>
      <c r="AB148" s="491"/>
      <c r="AC148" s="491"/>
      <c r="AD148" s="491"/>
      <c r="AE148" s="491"/>
    </row>
    <row r="149" spans="1:31" s="1566" customFormat="1" ht="11.25" customHeight="1">
      <c r="A149" s="903"/>
      <c r="B149" s="1561"/>
      <c r="C149" s="1561"/>
      <c r="D149" s="272"/>
      <c r="K149" s="1070"/>
      <c r="L149" s="1561"/>
      <c r="M149" s="1561"/>
      <c r="N149" s="1070"/>
      <c r="O149" s="1070"/>
      <c r="P149" s="1070"/>
      <c r="Q149" s="1070"/>
      <c r="R149" s="1561"/>
      <c r="S149" s="1070"/>
      <c r="T149" s="1070"/>
      <c r="U149" s="469"/>
      <c r="V149" s="1070"/>
      <c r="W149" s="1070"/>
      <c r="X149" s="1070"/>
      <c r="Y149" s="1070"/>
      <c r="Z149" s="1070"/>
      <c r="AA149" s="1557"/>
      <c r="AB149" s="491"/>
      <c r="AC149" s="491"/>
      <c r="AD149" s="491"/>
      <c r="AE149" s="491"/>
    </row>
    <row r="150" spans="1:31" s="1566" customFormat="1" ht="11.25" customHeight="1">
      <c r="A150" s="903"/>
      <c r="B150" s="1561"/>
      <c r="C150" s="1561"/>
      <c r="D150" s="272"/>
      <c r="K150" s="1070"/>
      <c r="L150" s="1561"/>
      <c r="M150" s="1561"/>
      <c r="N150" s="1070"/>
      <c r="O150" s="1070"/>
      <c r="P150" s="1070"/>
      <c r="Q150" s="1070"/>
      <c r="R150" s="1561"/>
      <c r="S150" s="1070"/>
      <c r="T150" s="1070"/>
      <c r="U150" s="469"/>
      <c r="V150" s="1070"/>
      <c r="W150" s="1070"/>
      <c r="X150" s="1070"/>
      <c r="Y150" s="1070"/>
      <c r="Z150" s="1070"/>
      <c r="AA150" s="1557"/>
      <c r="AB150" s="491"/>
      <c r="AC150" s="491"/>
      <c r="AD150" s="491"/>
      <c r="AE150" s="491"/>
    </row>
    <row r="151" spans="1:31" s="1566" customFormat="1" ht="11.25" customHeight="1">
      <c r="A151" s="903"/>
      <c r="B151" s="1561"/>
      <c r="C151" s="1561"/>
      <c r="D151" s="272"/>
      <c r="K151" s="1070"/>
      <c r="L151" s="1561"/>
      <c r="M151" s="1561"/>
      <c r="N151" s="1070"/>
      <c r="O151" s="1070"/>
      <c r="P151" s="1070"/>
      <c r="Q151" s="1070"/>
      <c r="R151" s="1561"/>
      <c r="S151" s="1070"/>
      <c r="T151" s="1070"/>
      <c r="U151" s="469"/>
      <c r="V151" s="1070"/>
      <c r="W151" s="1070"/>
      <c r="X151" s="1070"/>
      <c r="Y151" s="1070"/>
      <c r="Z151" s="1070"/>
      <c r="AA151" s="1557"/>
      <c r="AB151" s="491"/>
      <c r="AC151" s="491"/>
      <c r="AD151" s="491"/>
      <c r="AE151" s="491"/>
    </row>
    <row r="152" spans="1:31" s="1566" customFormat="1" ht="11.25" customHeight="1">
      <c r="A152" s="903"/>
      <c r="B152" s="1561"/>
      <c r="C152" s="1561"/>
      <c r="D152" s="272"/>
      <c r="K152" s="1070"/>
      <c r="L152" s="1561"/>
      <c r="M152" s="1561"/>
      <c r="N152" s="1070"/>
      <c r="O152" s="1070"/>
      <c r="P152" s="1070"/>
      <c r="Q152" s="1070"/>
      <c r="R152" s="1561"/>
      <c r="S152" s="1070"/>
      <c r="T152" s="1070"/>
      <c r="U152" s="469"/>
      <c r="V152" s="1070"/>
      <c r="W152" s="1070"/>
      <c r="X152" s="1070"/>
      <c r="Y152" s="1070"/>
      <c r="Z152" s="1070"/>
      <c r="AA152" s="1557"/>
      <c r="AB152" s="491"/>
      <c r="AC152" s="491"/>
      <c r="AD152" s="491"/>
      <c r="AE152" s="491"/>
    </row>
    <row r="153" spans="1:31" s="1566" customFormat="1" ht="11.25" customHeight="1">
      <c r="A153" s="903"/>
      <c r="B153" s="1561"/>
      <c r="C153" s="1561"/>
      <c r="D153" s="272"/>
      <c r="K153" s="1070"/>
      <c r="L153" s="1561"/>
      <c r="M153" s="1561"/>
      <c r="N153" s="1070"/>
      <c r="O153" s="1070"/>
      <c r="P153" s="1070"/>
      <c r="Q153" s="1070"/>
      <c r="R153" s="1561"/>
      <c r="S153" s="1070"/>
      <c r="T153" s="1070"/>
      <c r="U153" s="469"/>
      <c r="V153" s="1070"/>
      <c r="W153" s="1070"/>
      <c r="X153" s="1070"/>
      <c r="Y153" s="1070"/>
      <c r="Z153" s="1070"/>
      <c r="AA153" s="1557"/>
      <c r="AB153" s="491"/>
      <c r="AC153" s="491"/>
      <c r="AD153" s="491"/>
      <c r="AE153" s="491"/>
    </row>
    <row r="154" spans="1:31" s="1566" customFormat="1" ht="11.25" customHeight="1">
      <c r="A154" s="903"/>
      <c r="B154" s="1561"/>
      <c r="C154" s="1561"/>
      <c r="D154" s="272"/>
      <c r="K154" s="1070"/>
      <c r="L154" s="1561"/>
      <c r="M154" s="1561"/>
      <c r="N154" s="1070"/>
      <c r="O154" s="1070"/>
      <c r="P154" s="1070"/>
      <c r="Q154" s="1070"/>
      <c r="R154" s="1561"/>
      <c r="S154" s="1070"/>
      <c r="T154" s="1070"/>
      <c r="U154" s="469"/>
      <c r="V154" s="1070"/>
      <c r="W154" s="1070"/>
      <c r="X154" s="1070"/>
      <c r="Y154" s="1070"/>
      <c r="Z154" s="1070"/>
      <c r="AA154" s="1557"/>
      <c r="AB154" s="491"/>
      <c r="AC154" s="491"/>
      <c r="AD154" s="491"/>
      <c r="AE154" s="491"/>
    </row>
    <row r="155" spans="1:31" s="1566" customFormat="1" ht="11.25" customHeight="1">
      <c r="A155" s="903"/>
      <c r="B155" s="1561"/>
      <c r="C155" s="1561"/>
      <c r="D155" s="272"/>
      <c r="K155" s="1070"/>
      <c r="L155" s="1561"/>
      <c r="M155" s="1561"/>
      <c r="N155" s="1070"/>
      <c r="O155" s="1070"/>
      <c r="P155" s="1070"/>
      <c r="Q155" s="1070"/>
      <c r="R155" s="1561"/>
      <c r="S155" s="1070"/>
      <c r="T155" s="1070"/>
      <c r="U155" s="469"/>
      <c r="V155" s="1070"/>
      <c r="W155" s="1070"/>
      <c r="X155" s="1070"/>
      <c r="Y155" s="1070"/>
      <c r="Z155" s="1070"/>
      <c r="AA155" s="1557"/>
      <c r="AB155" s="491"/>
      <c r="AC155" s="491"/>
      <c r="AD155" s="491"/>
      <c r="AE155" s="491"/>
    </row>
    <row r="156" spans="1:31" s="1566" customFormat="1" ht="11.25" customHeight="1">
      <c r="A156" s="903"/>
      <c r="B156" s="1561"/>
      <c r="C156" s="1561"/>
      <c r="D156" s="272"/>
      <c r="K156" s="1070"/>
      <c r="L156" s="1561"/>
      <c r="M156" s="1561"/>
      <c r="N156" s="1070"/>
      <c r="O156" s="1070"/>
      <c r="P156" s="1070"/>
      <c r="Q156" s="1070"/>
      <c r="R156" s="1561"/>
      <c r="S156" s="1070"/>
      <c r="T156" s="1070"/>
      <c r="U156" s="469"/>
      <c r="V156" s="1070"/>
      <c r="W156" s="1070"/>
      <c r="X156" s="1070"/>
      <c r="Y156" s="1070"/>
      <c r="Z156" s="1070"/>
      <c r="AA156" s="1557"/>
      <c r="AB156" s="491"/>
      <c r="AC156" s="491"/>
      <c r="AD156" s="491"/>
      <c r="AE156" s="491"/>
    </row>
    <row r="157" spans="1:31" s="1566" customFormat="1" ht="11.25" customHeight="1">
      <c r="A157" s="903"/>
      <c r="B157" s="1561"/>
      <c r="C157" s="1561"/>
      <c r="D157" s="272"/>
      <c r="K157" s="1070"/>
      <c r="L157" s="1561"/>
      <c r="M157" s="1561"/>
      <c r="N157" s="1070"/>
      <c r="O157" s="1070"/>
      <c r="P157" s="1070"/>
      <c r="Q157" s="1070"/>
      <c r="R157" s="1561"/>
      <c r="S157" s="1070"/>
      <c r="T157" s="1070"/>
      <c r="U157" s="469"/>
      <c r="V157" s="1070"/>
      <c r="W157" s="1070"/>
      <c r="X157" s="1070"/>
      <c r="Y157" s="1070"/>
      <c r="Z157" s="1070"/>
      <c r="AA157" s="1557"/>
      <c r="AB157" s="491"/>
      <c r="AC157" s="491"/>
      <c r="AD157" s="491"/>
      <c r="AE157" s="491"/>
    </row>
    <row r="158" spans="1:31" s="1566" customFormat="1" ht="11.25" customHeight="1">
      <c r="A158" s="903"/>
      <c r="B158" s="1561"/>
      <c r="C158" s="1561"/>
      <c r="D158" s="272"/>
      <c r="K158" s="1070"/>
      <c r="L158" s="1561"/>
      <c r="M158" s="1561"/>
      <c r="N158" s="1070"/>
      <c r="O158" s="1070"/>
      <c r="P158" s="1070"/>
      <c r="Q158" s="1070"/>
      <c r="R158" s="1561"/>
      <c r="S158" s="1070"/>
      <c r="T158" s="1070"/>
      <c r="U158" s="469"/>
      <c r="V158" s="1070"/>
      <c r="W158" s="1070"/>
      <c r="X158" s="1070"/>
      <c r="Y158" s="1070"/>
      <c r="Z158" s="1070"/>
      <c r="AA158" s="1557"/>
      <c r="AB158" s="491"/>
      <c r="AC158" s="491"/>
      <c r="AD158" s="491"/>
      <c r="AE158" s="491"/>
    </row>
    <row r="159" spans="1:31" s="1566" customFormat="1" ht="11.25" customHeight="1">
      <c r="A159" s="903"/>
      <c r="B159" s="1561"/>
      <c r="C159" s="1561"/>
      <c r="D159" s="272"/>
      <c r="K159" s="1070"/>
      <c r="L159" s="1561"/>
      <c r="M159" s="1561"/>
      <c r="N159" s="1070"/>
      <c r="O159" s="1070"/>
      <c r="P159" s="1070"/>
      <c r="Q159" s="1070"/>
      <c r="R159" s="1561"/>
      <c r="S159" s="1070"/>
      <c r="T159" s="1070"/>
      <c r="U159" s="469"/>
      <c r="V159" s="1070"/>
      <c r="W159" s="1070"/>
      <c r="X159" s="1070"/>
      <c r="Y159" s="1070"/>
      <c r="Z159" s="1070"/>
      <c r="AA159" s="1557"/>
      <c r="AB159" s="491"/>
      <c r="AC159" s="491"/>
      <c r="AD159" s="491"/>
      <c r="AE159" s="491"/>
    </row>
    <row r="160" spans="1:31" s="1566" customFormat="1" ht="11.25" customHeight="1">
      <c r="A160" s="903"/>
      <c r="B160" s="1561"/>
      <c r="C160" s="1561"/>
      <c r="D160" s="272"/>
      <c r="K160" s="1070"/>
      <c r="L160" s="1561"/>
      <c r="M160" s="1561"/>
      <c r="N160" s="1070"/>
      <c r="O160" s="1070"/>
      <c r="P160" s="1070"/>
      <c r="Q160" s="1070"/>
      <c r="R160" s="1561"/>
      <c r="S160" s="1070"/>
      <c r="T160" s="1070"/>
      <c r="U160" s="469"/>
      <c r="V160" s="1070"/>
      <c r="W160" s="1070"/>
      <c r="X160" s="1070"/>
      <c r="Y160" s="1070"/>
      <c r="Z160" s="1070"/>
      <c r="AA160" s="1557"/>
      <c r="AB160" s="491"/>
      <c r="AC160" s="491"/>
      <c r="AD160" s="491"/>
      <c r="AE160" s="491"/>
    </row>
    <row r="161" spans="1:31" s="1566" customFormat="1" ht="11.25" customHeight="1">
      <c r="A161" s="903"/>
      <c r="B161" s="1561"/>
      <c r="C161" s="1561"/>
      <c r="D161" s="272"/>
      <c r="K161" s="1070"/>
      <c r="L161" s="1561"/>
      <c r="M161" s="1561"/>
      <c r="N161" s="1070"/>
      <c r="O161" s="1070"/>
      <c r="P161" s="1070"/>
      <c r="Q161" s="1070"/>
      <c r="R161" s="1561"/>
      <c r="S161" s="1070"/>
      <c r="T161" s="1070"/>
      <c r="U161" s="469"/>
      <c r="V161" s="1070"/>
      <c r="W161" s="1070"/>
      <c r="X161" s="1070"/>
      <c r="Y161" s="1070"/>
      <c r="Z161" s="1070"/>
      <c r="AA161" s="1557"/>
      <c r="AB161" s="491"/>
      <c r="AC161" s="491"/>
      <c r="AD161" s="491"/>
      <c r="AE161" s="491"/>
    </row>
    <row r="162" spans="1:31" s="1566" customFormat="1" ht="11.25" customHeight="1">
      <c r="A162" s="903"/>
      <c r="B162" s="1561"/>
      <c r="C162" s="1561"/>
      <c r="D162" s="272"/>
      <c r="K162" s="1070"/>
      <c r="L162" s="1561"/>
      <c r="M162" s="1561"/>
      <c r="N162" s="1070"/>
      <c r="O162" s="1070"/>
      <c r="P162" s="1070"/>
      <c r="Q162" s="1070"/>
      <c r="R162" s="1561"/>
      <c r="S162" s="1070"/>
      <c r="T162" s="1070"/>
      <c r="U162" s="469"/>
      <c r="V162" s="1070"/>
      <c r="W162" s="1070"/>
      <c r="X162" s="1070"/>
      <c r="Y162" s="1070"/>
      <c r="Z162" s="1070"/>
      <c r="AA162" s="1557"/>
      <c r="AB162" s="491"/>
      <c r="AC162" s="491"/>
      <c r="AD162" s="491"/>
      <c r="AE162" s="491"/>
    </row>
    <row r="163" spans="1:31" s="1566" customFormat="1" ht="11.25" customHeight="1">
      <c r="A163" s="903"/>
      <c r="B163" s="1561"/>
      <c r="C163" s="1561"/>
      <c r="D163" s="272"/>
      <c r="K163" s="1070"/>
      <c r="L163" s="1561"/>
      <c r="M163" s="1561"/>
      <c r="N163" s="1070"/>
      <c r="O163" s="1070"/>
      <c r="P163" s="1070"/>
      <c r="Q163" s="1070"/>
      <c r="R163" s="1561"/>
      <c r="S163" s="1070"/>
      <c r="T163" s="1070"/>
      <c r="U163" s="469"/>
      <c r="V163" s="1070"/>
      <c r="W163" s="1070"/>
      <c r="X163" s="1070"/>
      <c r="Y163" s="1070"/>
      <c r="Z163" s="1070"/>
      <c r="AA163" s="1557"/>
      <c r="AB163" s="491"/>
      <c r="AC163" s="491"/>
      <c r="AD163" s="491"/>
      <c r="AE163" s="491"/>
    </row>
    <row r="164" spans="1:31" s="1566" customFormat="1" ht="11.25" customHeight="1">
      <c r="A164" s="903"/>
      <c r="B164" s="1561"/>
      <c r="C164" s="1561"/>
      <c r="D164" s="272"/>
      <c r="K164" s="1070"/>
      <c r="L164" s="1561"/>
      <c r="M164" s="1561"/>
      <c r="N164" s="1070"/>
      <c r="O164" s="1070"/>
      <c r="P164" s="1070"/>
      <c r="Q164" s="1070"/>
      <c r="R164" s="1561"/>
      <c r="S164" s="1070"/>
      <c r="T164" s="1070"/>
      <c r="U164" s="469"/>
      <c r="V164" s="1070"/>
      <c r="W164" s="1070"/>
      <c r="X164" s="1070"/>
      <c r="Y164" s="1070"/>
      <c r="Z164" s="1070"/>
      <c r="AA164" s="1557"/>
      <c r="AB164" s="491"/>
      <c r="AC164" s="491"/>
      <c r="AD164" s="491"/>
      <c r="AE164" s="491"/>
    </row>
    <row r="165" spans="1:31" s="1566" customFormat="1" ht="11.25" customHeight="1">
      <c r="A165" s="903"/>
      <c r="B165" s="1561"/>
      <c r="C165" s="1561"/>
      <c r="D165" s="272"/>
      <c r="K165" s="1070"/>
      <c r="L165" s="1561"/>
      <c r="M165" s="1561"/>
      <c r="N165" s="1070"/>
      <c r="O165" s="1070"/>
      <c r="P165" s="1070"/>
      <c r="Q165" s="1070"/>
      <c r="R165" s="1561"/>
      <c r="S165" s="1070"/>
      <c r="T165" s="1070"/>
      <c r="U165" s="469"/>
      <c r="V165" s="1070"/>
      <c r="W165" s="1070"/>
      <c r="X165" s="1070"/>
      <c r="Y165" s="1070"/>
      <c r="Z165" s="1070"/>
      <c r="AA165" s="1557"/>
      <c r="AB165" s="491"/>
      <c r="AC165" s="491"/>
      <c r="AD165" s="491"/>
      <c r="AE165" s="491"/>
    </row>
    <row r="166" spans="1:31" s="1566" customFormat="1" ht="11.25" customHeight="1">
      <c r="A166" s="903"/>
      <c r="B166" s="1561"/>
      <c r="C166" s="1561"/>
      <c r="D166" s="272"/>
      <c r="K166" s="1070"/>
      <c r="L166" s="1561"/>
      <c r="M166" s="1561"/>
      <c r="N166" s="1070"/>
      <c r="O166" s="1070"/>
      <c r="P166" s="1070"/>
      <c r="Q166" s="1070"/>
      <c r="R166" s="1561"/>
      <c r="S166" s="1070"/>
      <c r="T166" s="1070"/>
      <c r="U166" s="469"/>
      <c r="V166" s="1070"/>
      <c r="W166" s="1070"/>
      <c r="X166" s="1070"/>
      <c r="Y166" s="1070"/>
      <c r="Z166" s="1070"/>
      <c r="AA166" s="1557"/>
      <c r="AB166" s="491"/>
      <c r="AC166" s="491"/>
      <c r="AD166" s="491"/>
      <c r="AE166" s="491"/>
    </row>
    <row r="167" spans="1:31" s="1566" customFormat="1" ht="11.25" customHeight="1">
      <c r="A167" s="903"/>
      <c r="B167" s="1561"/>
      <c r="C167" s="1561"/>
      <c r="D167" s="272"/>
      <c r="K167" s="1070"/>
      <c r="L167" s="1561"/>
      <c r="M167" s="1561"/>
      <c r="N167" s="1070"/>
      <c r="O167" s="1070"/>
      <c r="P167" s="1070"/>
      <c r="Q167" s="1070"/>
      <c r="R167" s="1561"/>
      <c r="S167" s="1070"/>
      <c r="T167" s="1070"/>
      <c r="U167" s="469"/>
      <c r="V167" s="1070"/>
      <c r="W167" s="1070"/>
      <c r="X167" s="1070"/>
      <c r="Y167" s="1070"/>
      <c r="Z167" s="1070"/>
      <c r="AA167" s="1557"/>
      <c r="AB167" s="491"/>
      <c r="AC167" s="491"/>
      <c r="AD167" s="491"/>
      <c r="AE167" s="491"/>
    </row>
    <row r="168" spans="1:31" s="1566" customFormat="1" ht="11.25" customHeight="1">
      <c r="A168" s="903"/>
      <c r="B168" s="1561"/>
      <c r="C168" s="1561"/>
      <c r="D168" s="272"/>
      <c r="K168" s="1070"/>
      <c r="L168" s="1561"/>
      <c r="M168" s="1561"/>
      <c r="N168" s="1070"/>
      <c r="O168" s="1070"/>
      <c r="P168" s="1070"/>
      <c r="Q168" s="1070"/>
      <c r="R168" s="1561"/>
      <c r="S168" s="1070"/>
      <c r="T168" s="1070"/>
      <c r="U168" s="469"/>
      <c r="V168" s="1070"/>
      <c r="W168" s="1070"/>
      <c r="X168" s="1070"/>
      <c r="Y168" s="1070"/>
      <c r="Z168" s="1070"/>
      <c r="AA168" s="1557"/>
      <c r="AB168" s="491"/>
      <c r="AC168" s="491"/>
      <c r="AD168" s="491"/>
      <c r="AE168" s="491"/>
    </row>
    <row r="169" spans="1:31" s="1566" customFormat="1" ht="11.25" customHeight="1">
      <c r="A169" s="903"/>
      <c r="B169" s="1561"/>
      <c r="C169" s="1561"/>
      <c r="D169" s="272"/>
      <c r="K169" s="1070"/>
      <c r="L169" s="1561"/>
      <c r="M169" s="1561"/>
      <c r="N169" s="1070"/>
      <c r="O169" s="1070"/>
      <c r="P169" s="1070"/>
      <c r="Q169" s="1070"/>
      <c r="R169" s="1561"/>
      <c r="S169" s="1070"/>
      <c r="T169" s="1070"/>
      <c r="U169" s="469"/>
      <c r="V169" s="1070"/>
      <c r="W169" s="1070"/>
      <c r="X169" s="1070"/>
      <c r="Y169" s="1070"/>
      <c r="Z169" s="1070"/>
      <c r="AA169" s="1557"/>
      <c r="AB169" s="491"/>
      <c r="AC169" s="491"/>
      <c r="AD169" s="491"/>
      <c r="AE169" s="491"/>
    </row>
    <row r="170" spans="1:31" s="1566" customFormat="1" ht="11.25" customHeight="1">
      <c r="A170" s="903"/>
      <c r="B170" s="1561"/>
      <c r="C170" s="1561"/>
      <c r="D170" s="272"/>
      <c r="K170" s="1070"/>
      <c r="L170" s="1561"/>
      <c r="M170" s="1561"/>
      <c r="N170" s="1070"/>
      <c r="O170" s="1070"/>
      <c r="P170" s="1070"/>
      <c r="Q170" s="1070"/>
      <c r="R170" s="1561"/>
      <c r="S170" s="1070"/>
      <c r="T170" s="1070"/>
      <c r="U170" s="469"/>
      <c r="V170" s="1070"/>
      <c r="W170" s="1070"/>
      <c r="X170" s="1070"/>
      <c r="Y170" s="1070"/>
      <c r="Z170" s="1070"/>
      <c r="AA170" s="1557"/>
      <c r="AB170" s="491"/>
      <c r="AC170" s="491"/>
      <c r="AD170" s="491"/>
      <c r="AE170" s="491"/>
    </row>
    <row r="171" spans="1:31" s="1566" customFormat="1" ht="11.25" customHeight="1">
      <c r="A171" s="903"/>
      <c r="B171" s="1561"/>
      <c r="C171" s="1561"/>
      <c r="D171" s="272"/>
      <c r="K171" s="1070"/>
      <c r="L171" s="1561"/>
      <c r="M171" s="1561"/>
      <c r="N171" s="1070"/>
      <c r="O171" s="1070"/>
      <c r="P171" s="1070"/>
      <c r="Q171" s="1070"/>
      <c r="R171" s="1561"/>
      <c r="S171" s="1070"/>
      <c r="T171" s="1070"/>
      <c r="U171" s="469"/>
      <c r="V171" s="1070"/>
      <c r="W171" s="1070"/>
      <c r="X171" s="1070"/>
      <c r="Y171" s="1070"/>
      <c r="Z171" s="1070"/>
      <c r="AA171" s="1557"/>
      <c r="AB171" s="491"/>
      <c r="AC171" s="491"/>
      <c r="AD171" s="491"/>
      <c r="AE171" s="491"/>
    </row>
    <row r="172" spans="1:31" s="1566" customFormat="1" ht="11.25" customHeight="1">
      <c r="A172" s="903"/>
      <c r="B172" s="1561"/>
      <c r="C172" s="1561"/>
      <c r="D172" s="272"/>
      <c r="K172" s="1070"/>
      <c r="L172" s="1561"/>
      <c r="M172" s="1561"/>
      <c r="N172" s="1070"/>
      <c r="O172" s="1070"/>
      <c r="P172" s="1070"/>
      <c r="Q172" s="1070"/>
      <c r="R172" s="1561"/>
      <c r="S172" s="1070"/>
      <c r="T172" s="1070"/>
      <c r="U172" s="469"/>
      <c r="V172" s="1070"/>
      <c r="W172" s="1070"/>
      <c r="X172" s="1070"/>
      <c r="Y172" s="1070"/>
      <c r="Z172" s="1070"/>
      <c r="AA172" s="1557"/>
      <c r="AB172" s="491"/>
      <c r="AC172" s="491"/>
      <c r="AD172" s="491"/>
      <c r="AE172" s="491"/>
    </row>
    <row r="173" spans="1:31" s="1566" customFormat="1" ht="11.25" customHeight="1">
      <c r="A173" s="903"/>
      <c r="B173" s="1561"/>
      <c r="C173" s="1561"/>
      <c r="D173" s="272"/>
      <c r="K173" s="1070"/>
      <c r="L173" s="1561"/>
      <c r="M173" s="1561"/>
      <c r="N173" s="1070"/>
      <c r="O173" s="1070"/>
      <c r="P173" s="1070"/>
      <c r="Q173" s="1070"/>
      <c r="R173" s="1561"/>
      <c r="S173" s="1070"/>
      <c r="T173" s="1070"/>
      <c r="U173" s="469"/>
      <c r="V173" s="1070"/>
      <c r="W173" s="1070"/>
      <c r="X173" s="1070"/>
      <c r="Y173" s="1070"/>
      <c r="Z173" s="1070"/>
      <c r="AA173" s="1557"/>
      <c r="AB173" s="491"/>
      <c r="AC173" s="491"/>
      <c r="AD173" s="491"/>
      <c r="AE173" s="491"/>
    </row>
    <row r="174" spans="1:31" s="1566" customFormat="1" ht="11.25" customHeight="1">
      <c r="A174" s="903"/>
      <c r="B174" s="1561"/>
      <c r="C174" s="1561"/>
      <c r="D174" s="272"/>
      <c r="K174" s="1070"/>
      <c r="L174" s="1561"/>
      <c r="M174" s="1561"/>
      <c r="N174" s="1070"/>
      <c r="O174" s="1070"/>
      <c r="P174" s="1070"/>
      <c r="Q174" s="1070"/>
      <c r="R174" s="1561"/>
      <c r="S174" s="1070"/>
      <c r="T174" s="1070"/>
      <c r="U174" s="469"/>
      <c r="V174" s="1070"/>
      <c r="W174" s="1070"/>
      <c r="X174" s="1070"/>
      <c r="Y174" s="1070"/>
      <c r="Z174" s="1070"/>
      <c r="AA174" s="1557"/>
      <c r="AB174" s="491"/>
      <c r="AC174" s="491"/>
      <c r="AD174" s="491"/>
      <c r="AE174" s="491"/>
    </row>
    <row r="175" spans="1:31" s="1566" customFormat="1" ht="11.25" customHeight="1">
      <c r="A175" s="903"/>
      <c r="B175" s="1561"/>
      <c r="C175" s="1561"/>
      <c r="D175" s="272"/>
      <c r="K175" s="1070"/>
      <c r="L175" s="1561"/>
      <c r="M175" s="1561"/>
      <c r="N175" s="1070"/>
      <c r="O175" s="1070"/>
      <c r="P175" s="1070"/>
      <c r="Q175" s="1070"/>
      <c r="R175" s="1561"/>
      <c r="S175" s="1070"/>
      <c r="T175" s="1070"/>
      <c r="U175" s="469"/>
      <c r="V175" s="1070"/>
      <c r="W175" s="1070"/>
      <c r="X175" s="1070"/>
      <c r="Y175" s="1070"/>
      <c r="Z175" s="1070"/>
      <c r="AA175" s="1557"/>
      <c r="AB175" s="491"/>
      <c r="AC175" s="491"/>
      <c r="AD175" s="491"/>
      <c r="AE175" s="491"/>
    </row>
    <row r="176" spans="1:31" s="1566" customFormat="1" ht="11.25" customHeight="1">
      <c r="A176" s="903"/>
      <c r="B176" s="1561"/>
      <c r="C176" s="1561"/>
      <c r="D176" s="272"/>
      <c r="K176" s="1070"/>
      <c r="L176" s="1561"/>
      <c r="M176" s="1561"/>
      <c r="N176" s="1070"/>
      <c r="O176" s="1070"/>
      <c r="P176" s="1070"/>
      <c r="Q176" s="1070"/>
      <c r="R176" s="1561"/>
      <c r="S176" s="1070"/>
      <c r="T176" s="1070"/>
      <c r="U176" s="469"/>
      <c r="V176" s="1070"/>
      <c r="W176" s="1070"/>
      <c r="X176" s="1070"/>
      <c r="Y176" s="1070"/>
      <c r="Z176" s="1070"/>
      <c r="AA176" s="1557"/>
      <c r="AB176" s="491"/>
      <c r="AC176" s="491"/>
      <c r="AD176" s="491"/>
      <c r="AE176" s="491"/>
    </row>
    <row r="177" spans="1:31" s="1566" customFormat="1" ht="11.25" customHeight="1">
      <c r="A177" s="903"/>
      <c r="B177" s="1561"/>
      <c r="C177" s="1561"/>
      <c r="D177" s="272"/>
      <c r="K177" s="1070"/>
      <c r="L177" s="1561"/>
      <c r="M177" s="1561"/>
      <c r="N177" s="1070"/>
      <c r="O177" s="1070"/>
      <c r="P177" s="1070"/>
      <c r="Q177" s="1070"/>
      <c r="R177" s="1561"/>
      <c r="S177" s="1070"/>
      <c r="T177" s="1070"/>
      <c r="U177" s="469"/>
      <c r="V177" s="1070"/>
      <c r="W177" s="1070"/>
      <c r="X177" s="1070"/>
      <c r="Y177" s="1070"/>
      <c r="Z177" s="1070"/>
      <c r="AA177" s="1557"/>
      <c r="AB177" s="491"/>
      <c r="AC177" s="491"/>
      <c r="AD177" s="491"/>
      <c r="AE177" s="491"/>
    </row>
    <row r="178" spans="1:31" s="1566" customFormat="1" ht="11.25" customHeight="1">
      <c r="A178" s="903"/>
      <c r="B178" s="1561"/>
      <c r="C178" s="1561"/>
      <c r="D178" s="272"/>
      <c r="K178" s="1070"/>
      <c r="L178" s="1561"/>
      <c r="M178" s="1561"/>
      <c r="N178" s="1070"/>
      <c r="O178" s="1070"/>
      <c r="P178" s="1070"/>
      <c r="Q178" s="1070"/>
      <c r="R178" s="1561"/>
      <c r="S178" s="1070"/>
      <c r="T178" s="1070"/>
      <c r="U178" s="469"/>
      <c r="V178" s="1070"/>
      <c r="W178" s="1070"/>
      <c r="X178" s="1070"/>
      <c r="Y178" s="1070"/>
      <c r="Z178" s="1070"/>
      <c r="AA178" s="1557"/>
      <c r="AB178" s="491"/>
      <c r="AC178" s="491"/>
      <c r="AD178" s="491"/>
      <c r="AE178" s="491"/>
    </row>
    <row r="179" spans="1:31" s="1566" customFormat="1" ht="11.25" customHeight="1">
      <c r="A179" s="903"/>
      <c r="B179" s="1561"/>
      <c r="C179" s="1561"/>
      <c r="D179" s="272"/>
      <c r="K179" s="1070"/>
      <c r="L179" s="1561"/>
      <c r="M179" s="1561"/>
      <c r="N179" s="1070"/>
      <c r="O179" s="1070"/>
      <c r="P179" s="1070"/>
      <c r="Q179" s="1070"/>
      <c r="R179" s="1561"/>
      <c r="S179" s="1070"/>
      <c r="T179" s="1070"/>
      <c r="U179" s="469"/>
      <c r="V179" s="1070"/>
      <c r="W179" s="1070"/>
      <c r="X179" s="1070"/>
      <c r="Y179" s="1070"/>
      <c r="Z179" s="1070"/>
      <c r="AA179" s="1557"/>
      <c r="AB179" s="491"/>
      <c r="AC179" s="491"/>
      <c r="AD179" s="491"/>
      <c r="AE179" s="491"/>
    </row>
    <row r="180" spans="1:31" s="1566" customFormat="1" ht="11.25" customHeight="1">
      <c r="A180" s="903"/>
      <c r="B180" s="1561"/>
      <c r="C180" s="1561"/>
      <c r="D180" s="272"/>
      <c r="K180" s="1070"/>
      <c r="L180" s="1561"/>
      <c r="M180" s="1561"/>
      <c r="N180" s="1070"/>
      <c r="O180" s="1070"/>
      <c r="P180" s="1070"/>
      <c r="Q180" s="1070"/>
      <c r="R180" s="1561"/>
      <c r="S180" s="1070"/>
      <c r="T180" s="1070"/>
      <c r="U180" s="469"/>
      <c r="V180" s="1070"/>
      <c r="W180" s="1070"/>
      <c r="X180" s="1070"/>
      <c r="Y180" s="1070"/>
      <c r="Z180" s="1070"/>
      <c r="AA180" s="1557"/>
      <c r="AB180" s="491"/>
      <c r="AC180" s="491"/>
      <c r="AD180" s="491"/>
      <c r="AE180" s="491"/>
    </row>
    <row r="181" spans="1:31" s="1566" customFormat="1" ht="11.25" customHeight="1">
      <c r="A181" s="903"/>
      <c r="B181" s="1561"/>
      <c r="C181" s="1561"/>
      <c r="D181" s="272"/>
      <c r="K181" s="1070"/>
      <c r="L181" s="1561"/>
      <c r="M181" s="1561"/>
      <c r="N181" s="1070"/>
      <c r="O181" s="1070"/>
      <c r="P181" s="1070"/>
      <c r="Q181" s="1070"/>
      <c r="R181" s="1561"/>
      <c r="S181" s="1070"/>
      <c r="T181" s="1070"/>
      <c r="U181" s="469"/>
      <c r="V181" s="1070"/>
      <c r="W181" s="1070"/>
      <c r="X181" s="1070"/>
      <c r="Y181" s="1070"/>
      <c r="Z181" s="1070"/>
      <c r="AA181" s="1557"/>
      <c r="AB181" s="491"/>
      <c r="AC181" s="491"/>
      <c r="AD181" s="491"/>
      <c r="AE181" s="491"/>
    </row>
    <row r="182" spans="1:31" s="1566" customFormat="1" ht="11.25" customHeight="1">
      <c r="A182" s="903"/>
      <c r="B182" s="1561"/>
      <c r="C182" s="1561"/>
      <c r="D182" s="272"/>
      <c r="K182" s="1070"/>
      <c r="L182" s="1561"/>
      <c r="M182" s="1561"/>
      <c r="N182" s="1070"/>
      <c r="O182" s="1070"/>
      <c r="P182" s="1070"/>
      <c r="Q182" s="1070"/>
      <c r="R182" s="1561"/>
      <c r="S182" s="1070"/>
      <c r="T182" s="1070"/>
      <c r="U182" s="469"/>
      <c r="V182" s="1070"/>
      <c r="W182" s="1070"/>
      <c r="X182" s="1070"/>
      <c r="Y182" s="1070"/>
      <c r="Z182" s="1070"/>
      <c r="AA182" s="1557"/>
      <c r="AB182" s="491"/>
      <c r="AC182" s="491"/>
      <c r="AD182" s="491"/>
      <c r="AE182" s="491"/>
    </row>
    <row r="183" spans="1:31" s="1566" customFormat="1" ht="11.25" customHeight="1">
      <c r="A183" s="903"/>
      <c r="B183" s="1561"/>
      <c r="C183" s="1561"/>
      <c r="D183" s="272"/>
      <c r="K183" s="1070"/>
      <c r="L183" s="1561"/>
      <c r="M183" s="1561"/>
      <c r="N183" s="1070"/>
      <c r="O183" s="1070"/>
      <c r="P183" s="1070"/>
      <c r="Q183" s="1070"/>
      <c r="R183" s="1561"/>
      <c r="S183" s="1070"/>
      <c r="T183" s="1070"/>
      <c r="U183" s="469"/>
      <c r="V183" s="1070"/>
      <c r="W183" s="1070"/>
      <c r="X183" s="1070"/>
      <c r="Y183" s="1070"/>
      <c r="Z183" s="1070"/>
      <c r="AA183" s="1557"/>
      <c r="AB183" s="491"/>
      <c r="AC183" s="491"/>
      <c r="AD183" s="491"/>
      <c r="AE183" s="491"/>
    </row>
    <row r="184" spans="1:31" s="1566" customFormat="1" ht="11.25" customHeight="1">
      <c r="A184" s="903"/>
      <c r="B184" s="1561"/>
      <c r="C184" s="1561"/>
      <c r="D184" s="272"/>
      <c r="K184" s="1070"/>
      <c r="L184" s="1561"/>
      <c r="M184" s="1561"/>
      <c r="N184" s="1070"/>
      <c r="O184" s="1070"/>
      <c r="P184" s="1070"/>
      <c r="Q184" s="1070"/>
      <c r="R184" s="1561"/>
      <c r="S184" s="1070"/>
      <c r="T184" s="1070"/>
      <c r="U184" s="469"/>
      <c r="V184" s="1070"/>
      <c r="W184" s="1070"/>
      <c r="X184" s="1070"/>
      <c r="Y184" s="1070"/>
      <c r="Z184" s="1070"/>
      <c r="AA184" s="1557"/>
      <c r="AB184" s="491"/>
      <c r="AC184" s="491"/>
      <c r="AD184" s="491"/>
      <c r="AE184" s="491"/>
    </row>
    <row r="185" spans="1:31" s="1566" customFormat="1" ht="11.25" customHeight="1">
      <c r="A185" s="903"/>
      <c r="B185" s="1561"/>
      <c r="C185" s="1561"/>
      <c r="D185" s="272"/>
      <c r="K185" s="1070"/>
      <c r="L185" s="1561"/>
      <c r="M185" s="1561"/>
      <c r="N185" s="1070"/>
      <c r="O185" s="1070"/>
      <c r="P185" s="1070"/>
      <c r="Q185" s="1070"/>
      <c r="R185" s="1561"/>
      <c r="S185" s="1070"/>
      <c r="T185" s="1070"/>
      <c r="U185" s="469"/>
      <c r="V185" s="1070"/>
      <c r="W185" s="1070"/>
      <c r="X185" s="1070"/>
      <c r="Y185" s="1070"/>
      <c r="Z185" s="1070"/>
      <c r="AA185" s="1557"/>
      <c r="AB185" s="491"/>
      <c r="AC185" s="491"/>
      <c r="AD185" s="491"/>
      <c r="AE185" s="491"/>
    </row>
    <row r="186" spans="1:31" s="1566" customFormat="1" ht="11.25" customHeight="1">
      <c r="A186" s="903"/>
      <c r="B186" s="1561"/>
      <c r="C186" s="1561"/>
      <c r="D186" s="272"/>
      <c r="K186" s="1070"/>
      <c r="L186" s="1561"/>
      <c r="M186" s="1561"/>
      <c r="N186" s="1070"/>
      <c r="O186" s="1070"/>
      <c r="P186" s="1070"/>
      <c r="Q186" s="1070"/>
      <c r="R186" s="1561"/>
      <c r="S186" s="1070"/>
      <c r="T186" s="1070"/>
      <c r="U186" s="469"/>
      <c r="V186" s="1070"/>
      <c r="W186" s="1070"/>
      <c r="X186" s="1070"/>
      <c r="Y186" s="1070"/>
      <c r="Z186" s="1070"/>
      <c r="AA186" s="1557"/>
      <c r="AB186" s="491"/>
      <c r="AC186" s="491"/>
      <c r="AD186" s="491"/>
      <c r="AE186" s="491"/>
    </row>
    <row r="187" spans="1:31" s="1566" customFormat="1" ht="11.25" customHeight="1">
      <c r="A187" s="903"/>
      <c r="B187" s="1561"/>
      <c r="C187" s="1561"/>
      <c r="D187" s="272"/>
      <c r="K187" s="1070"/>
      <c r="L187" s="1561"/>
      <c r="M187" s="1561"/>
      <c r="N187" s="1070"/>
      <c r="O187" s="1070"/>
      <c r="P187" s="1070"/>
      <c r="Q187" s="1070"/>
      <c r="R187" s="1561"/>
      <c r="S187" s="1070"/>
      <c r="T187" s="1070"/>
      <c r="U187" s="469"/>
      <c r="V187" s="1070"/>
      <c r="W187" s="1070"/>
      <c r="X187" s="1070"/>
      <c r="Y187" s="1070"/>
      <c r="Z187" s="1070"/>
      <c r="AA187" s="1557"/>
      <c r="AB187" s="491"/>
      <c r="AC187" s="491"/>
      <c r="AD187" s="491"/>
      <c r="AE187" s="491"/>
    </row>
    <row r="188" spans="1:31" s="1566" customFormat="1" ht="11.25" customHeight="1">
      <c r="A188" s="903"/>
      <c r="B188" s="1561"/>
      <c r="C188" s="1561"/>
      <c r="D188" s="272"/>
      <c r="K188" s="1070"/>
      <c r="L188" s="1561"/>
      <c r="M188" s="1561"/>
      <c r="N188" s="1070"/>
      <c r="O188" s="1070"/>
      <c r="P188" s="1070"/>
      <c r="Q188" s="1070"/>
      <c r="R188" s="1561"/>
      <c r="S188" s="1070"/>
      <c r="T188" s="1070"/>
      <c r="U188" s="469"/>
      <c r="V188" s="1070"/>
      <c r="W188" s="1070"/>
      <c r="X188" s="1070"/>
      <c r="Y188" s="1070"/>
      <c r="Z188" s="1070"/>
      <c r="AA188" s="1557"/>
      <c r="AB188" s="491"/>
      <c r="AC188" s="491"/>
      <c r="AD188" s="491"/>
      <c r="AE188" s="491"/>
    </row>
    <row r="189" spans="1:31" s="1566" customFormat="1" ht="11.25" customHeight="1">
      <c r="A189" s="903"/>
      <c r="B189" s="1561"/>
      <c r="C189" s="1561"/>
      <c r="D189" s="272"/>
      <c r="K189" s="1070"/>
      <c r="L189" s="1561"/>
      <c r="M189" s="1561"/>
      <c r="N189" s="1070"/>
      <c r="O189" s="1070"/>
      <c r="P189" s="1070"/>
      <c r="Q189" s="1070"/>
      <c r="R189" s="1561"/>
      <c r="S189" s="1070"/>
      <c r="T189" s="1070"/>
      <c r="U189" s="469"/>
      <c r="V189" s="1070"/>
      <c r="W189" s="1070"/>
      <c r="X189" s="1070"/>
      <c r="Y189" s="1070"/>
      <c r="Z189" s="1070"/>
      <c r="AA189" s="1557"/>
      <c r="AB189" s="491"/>
      <c r="AC189" s="491"/>
      <c r="AD189" s="491"/>
      <c r="AE189" s="491"/>
    </row>
    <row r="190" spans="1:31" s="1566" customFormat="1" ht="11.25" customHeight="1">
      <c r="A190" s="903"/>
      <c r="B190" s="1561"/>
      <c r="C190" s="1561"/>
      <c r="D190" s="272"/>
      <c r="K190" s="1070"/>
      <c r="L190" s="1561"/>
      <c r="M190" s="1561"/>
      <c r="N190" s="1070"/>
      <c r="O190" s="1070"/>
      <c r="P190" s="1070"/>
      <c r="Q190" s="1070"/>
      <c r="R190" s="1561"/>
      <c r="S190" s="1070"/>
      <c r="T190" s="1070"/>
      <c r="U190" s="469"/>
      <c r="V190" s="1070"/>
      <c r="W190" s="1070"/>
      <c r="X190" s="1070"/>
      <c r="Y190" s="1070"/>
      <c r="Z190" s="1070"/>
      <c r="AA190" s="1557"/>
      <c r="AB190" s="491"/>
      <c r="AC190" s="491"/>
      <c r="AD190" s="491"/>
      <c r="AE190" s="491"/>
    </row>
    <row r="191" spans="1:31" s="1566" customFormat="1" ht="11.25" customHeight="1">
      <c r="A191" s="903"/>
      <c r="B191" s="1561"/>
      <c r="C191" s="1561"/>
      <c r="D191" s="272"/>
      <c r="K191" s="1070"/>
      <c r="L191" s="1561"/>
      <c r="M191" s="1561"/>
      <c r="N191" s="1070"/>
      <c r="O191" s="1070"/>
      <c r="P191" s="1070"/>
      <c r="Q191" s="1070"/>
      <c r="R191" s="1561"/>
      <c r="S191" s="1070"/>
      <c r="T191" s="1070"/>
      <c r="U191" s="469"/>
      <c r="V191" s="1070"/>
      <c r="W191" s="1070"/>
      <c r="X191" s="1070"/>
      <c r="Y191" s="1070"/>
      <c r="Z191" s="1070"/>
      <c r="AA191" s="1557"/>
      <c r="AB191" s="491"/>
      <c r="AC191" s="491"/>
      <c r="AD191" s="491"/>
      <c r="AE191" s="491"/>
    </row>
    <row r="192" spans="1:31" s="1566" customFormat="1" ht="11.25" customHeight="1">
      <c r="A192" s="903"/>
      <c r="B192" s="1561"/>
      <c r="C192" s="1561"/>
      <c r="D192" s="272"/>
      <c r="K192" s="1070"/>
      <c r="L192" s="1561"/>
      <c r="M192" s="1561"/>
      <c r="N192" s="1070"/>
      <c r="O192" s="1070"/>
      <c r="P192" s="1070"/>
      <c r="Q192" s="1070"/>
      <c r="R192" s="1561"/>
      <c r="S192" s="1070"/>
      <c r="T192" s="1070"/>
      <c r="U192" s="469"/>
      <c r="V192" s="1070"/>
      <c r="W192" s="1070"/>
      <c r="X192" s="1070"/>
      <c r="Y192" s="1070"/>
      <c r="Z192" s="1070"/>
      <c r="AA192" s="1557"/>
      <c r="AB192" s="491"/>
      <c r="AC192" s="491"/>
      <c r="AD192" s="491"/>
      <c r="AE192" s="491"/>
    </row>
    <row r="193" spans="1:31" s="1566" customFormat="1" ht="11.25" customHeight="1">
      <c r="A193" s="903"/>
      <c r="B193" s="1561"/>
      <c r="C193" s="1561"/>
      <c r="D193" s="272"/>
      <c r="K193" s="1070"/>
      <c r="L193" s="1561"/>
      <c r="M193" s="1561"/>
      <c r="N193" s="1070"/>
      <c r="O193" s="1070"/>
      <c r="P193" s="1070"/>
      <c r="Q193" s="1070"/>
      <c r="R193" s="1561"/>
      <c r="S193" s="1070"/>
      <c r="T193" s="1070"/>
      <c r="U193" s="469"/>
      <c r="V193" s="1070"/>
      <c r="W193" s="1070"/>
      <c r="X193" s="1070"/>
      <c r="Y193" s="1070"/>
      <c r="Z193" s="1070"/>
      <c r="AA193" s="1557"/>
      <c r="AB193" s="491"/>
      <c r="AC193" s="491"/>
      <c r="AD193" s="491"/>
      <c r="AE193" s="491"/>
    </row>
    <row r="194" spans="1:31" s="1566" customFormat="1" ht="11.25" customHeight="1">
      <c r="A194" s="903"/>
      <c r="B194" s="1561"/>
      <c r="C194" s="1561"/>
      <c r="D194" s="272"/>
      <c r="K194" s="1070"/>
      <c r="L194" s="1561"/>
      <c r="M194" s="1561"/>
      <c r="N194" s="1070"/>
      <c r="O194" s="1070"/>
      <c r="P194" s="1070"/>
      <c r="Q194" s="1070"/>
      <c r="R194" s="1561"/>
      <c r="S194" s="1070"/>
      <c r="T194" s="1070"/>
      <c r="U194" s="469"/>
      <c r="V194" s="1070"/>
      <c r="W194" s="1070"/>
      <c r="X194" s="1070"/>
      <c r="Y194" s="1070"/>
      <c r="Z194" s="1070"/>
      <c r="AA194" s="1557"/>
      <c r="AB194" s="491"/>
      <c r="AC194" s="491"/>
      <c r="AD194" s="491"/>
      <c r="AE194" s="491"/>
    </row>
    <row r="195" spans="1:31" s="1566" customFormat="1" ht="11.25" customHeight="1">
      <c r="A195" s="903"/>
      <c r="B195" s="1561"/>
      <c r="C195" s="1561"/>
      <c r="D195" s="272"/>
      <c r="K195" s="1070"/>
      <c r="L195" s="1561"/>
      <c r="M195" s="1561"/>
      <c r="N195" s="1070"/>
      <c r="O195" s="1070"/>
      <c r="P195" s="1070"/>
      <c r="Q195" s="1070"/>
      <c r="R195" s="1561"/>
      <c r="S195" s="1070"/>
      <c r="T195" s="1070"/>
      <c r="U195" s="469"/>
      <c r="V195" s="1070"/>
      <c r="W195" s="1070"/>
      <c r="X195" s="1070"/>
      <c r="Y195" s="1070"/>
      <c r="Z195" s="1070"/>
      <c r="AA195" s="1557"/>
      <c r="AB195" s="491"/>
      <c r="AC195" s="491"/>
      <c r="AD195" s="491"/>
      <c r="AE195" s="491"/>
    </row>
    <row r="196" spans="1:31" s="1566" customFormat="1" ht="11.25" customHeight="1">
      <c r="A196" s="903"/>
      <c r="B196" s="1561"/>
      <c r="C196" s="1561"/>
      <c r="D196" s="272"/>
      <c r="K196" s="1070"/>
      <c r="L196" s="1561"/>
      <c r="M196" s="1561"/>
      <c r="N196" s="1070"/>
      <c r="O196" s="1070"/>
      <c r="P196" s="1070"/>
      <c r="Q196" s="1070"/>
      <c r="R196" s="1561"/>
      <c r="S196" s="1070"/>
      <c r="T196" s="1070"/>
      <c r="U196" s="469"/>
      <c r="V196" s="1070"/>
      <c r="W196" s="1070"/>
      <c r="X196" s="1070"/>
      <c r="Y196" s="1070"/>
      <c r="Z196" s="1070"/>
      <c r="AA196" s="1557"/>
      <c r="AB196" s="491"/>
      <c r="AC196" s="491"/>
      <c r="AD196" s="491"/>
      <c r="AE196" s="491"/>
    </row>
    <row r="197" spans="1:31" s="1566" customFormat="1" ht="11.25" customHeight="1">
      <c r="A197" s="903"/>
      <c r="B197" s="1561"/>
      <c r="C197" s="1561"/>
      <c r="D197" s="272"/>
      <c r="K197" s="1070"/>
      <c r="L197" s="1561"/>
      <c r="M197" s="1561"/>
      <c r="N197" s="1070"/>
      <c r="O197" s="1070"/>
      <c r="P197" s="1070"/>
      <c r="Q197" s="1070"/>
      <c r="R197" s="1561"/>
      <c r="S197" s="1070"/>
      <c r="T197" s="1070"/>
      <c r="U197" s="469"/>
      <c r="V197" s="1070"/>
      <c r="W197" s="1070"/>
      <c r="X197" s="1070"/>
      <c r="Y197" s="1070"/>
      <c r="Z197" s="1070"/>
      <c r="AA197" s="1557"/>
      <c r="AB197" s="491"/>
      <c r="AC197" s="491"/>
      <c r="AD197" s="491"/>
      <c r="AE197" s="491"/>
    </row>
    <row r="198" spans="1:31" s="1566" customFormat="1" ht="11.25" customHeight="1">
      <c r="A198" s="903"/>
      <c r="B198" s="1561"/>
      <c r="C198" s="1561"/>
      <c r="D198" s="272"/>
      <c r="K198" s="1070"/>
      <c r="L198" s="1561"/>
      <c r="M198" s="1561"/>
      <c r="N198" s="1070"/>
      <c r="O198" s="1070"/>
      <c r="P198" s="1070"/>
      <c r="Q198" s="1070"/>
      <c r="R198" s="1561"/>
      <c r="S198" s="1070"/>
      <c r="T198" s="1070"/>
      <c r="U198" s="469"/>
      <c r="V198" s="1070"/>
      <c r="W198" s="1070"/>
      <c r="X198" s="1070"/>
      <c r="Y198" s="1070"/>
      <c r="Z198" s="1070"/>
      <c r="AA198" s="1557"/>
      <c r="AB198" s="491"/>
      <c r="AC198" s="491"/>
      <c r="AD198" s="491"/>
      <c r="AE198" s="491"/>
    </row>
    <row r="199" spans="1:31" s="1566" customFormat="1" ht="11.25" customHeight="1">
      <c r="A199" s="903"/>
      <c r="B199" s="1561"/>
      <c r="C199" s="1561"/>
      <c r="D199" s="272"/>
      <c r="K199" s="1070"/>
      <c r="L199" s="1561"/>
      <c r="M199" s="1561"/>
      <c r="N199" s="1070"/>
      <c r="O199" s="1070"/>
      <c r="P199" s="1070"/>
      <c r="Q199" s="1070"/>
      <c r="R199" s="1561"/>
      <c r="S199" s="1070"/>
      <c r="T199" s="1070"/>
      <c r="U199" s="469"/>
      <c r="V199" s="1070"/>
      <c r="W199" s="1070"/>
      <c r="X199" s="1070"/>
      <c r="Y199" s="1070"/>
      <c r="Z199" s="1070"/>
      <c r="AA199" s="1557"/>
      <c r="AB199" s="491"/>
      <c r="AC199" s="491"/>
      <c r="AD199" s="491"/>
      <c r="AE199" s="491"/>
    </row>
    <row r="200" spans="1:31" s="1566" customFormat="1" ht="11.25" customHeight="1">
      <c r="A200" s="903"/>
      <c r="B200" s="1561"/>
      <c r="C200" s="1561"/>
      <c r="D200" s="272"/>
      <c r="K200" s="1070"/>
      <c r="L200" s="1561"/>
      <c r="M200" s="1561"/>
      <c r="N200" s="1070"/>
      <c r="O200" s="1070"/>
      <c r="P200" s="1070"/>
      <c r="Q200" s="1070"/>
      <c r="R200" s="1561"/>
      <c r="S200" s="1070"/>
      <c r="T200" s="1070"/>
      <c r="U200" s="469"/>
      <c r="V200" s="1070"/>
      <c r="W200" s="1070"/>
      <c r="X200" s="1070"/>
      <c r="Y200" s="1070"/>
      <c r="Z200" s="1070"/>
      <c r="AA200" s="1557"/>
      <c r="AB200" s="491"/>
      <c r="AC200" s="491"/>
      <c r="AD200" s="491"/>
      <c r="AE200" s="491"/>
    </row>
    <row r="201" spans="1:31" s="1566" customFormat="1" ht="11.25" customHeight="1">
      <c r="A201" s="903"/>
      <c r="B201" s="1561"/>
      <c r="C201" s="1561"/>
      <c r="D201" s="272"/>
      <c r="K201" s="1070"/>
      <c r="L201" s="1561"/>
      <c r="M201" s="1561"/>
      <c r="N201" s="1070"/>
      <c r="O201" s="1070"/>
      <c r="P201" s="1070"/>
      <c r="Q201" s="1070"/>
      <c r="R201" s="1561"/>
      <c r="S201" s="1070"/>
      <c r="T201" s="1070"/>
      <c r="U201" s="469"/>
      <c r="V201" s="1070"/>
      <c r="W201" s="1070"/>
      <c r="X201" s="1070"/>
      <c r="Y201" s="1070"/>
      <c r="Z201" s="1070"/>
      <c r="AA201" s="1557"/>
      <c r="AB201" s="491"/>
      <c r="AC201" s="491"/>
      <c r="AD201" s="491"/>
      <c r="AE201" s="491"/>
    </row>
    <row r="202" spans="1:31" s="1566" customFormat="1" ht="11.25" customHeight="1">
      <c r="A202" s="903"/>
      <c r="B202" s="1561"/>
      <c r="C202" s="1561"/>
      <c r="D202" s="272"/>
      <c r="K202" s="1070"/>
      <c r="L202" s="1561"/>
      <c r="M202" s="1561"/>
      <c r="N202" s="1070"/>
      <c r="O202" s="1070"/>
      <c r="P202" s="1070"/>
      <c r="Q202" s="1070"/>
      <c r="R202" s="1561"/>
      <c r="S202" s="1070"/>
      <c r="T202" s="1070"/>
      <c r="U202" s="469"/>
      <c r="V202" s="1070"/>
      <c r="W202" s="1070"/>
      <c r="X202" s="1070"/>
      <c r="Y202" s="1070"/>
      <c r="Z202" s="1070"/>
      <c r="AA202" s="1557"/>
      <c r="AB202" s="491"/>
      <c r="AC202" s="491"/>
      <c r="AD202" s="491"/>
      <c r="AE202" s="491"/>
    </row>
    <row r="203" spans="1:31" s="1566" customFormat="1" ht="11.25" customHeight="1">
      <c r="A203" s="903"/>
      <c r="B203" s="1561"/>
      <c r="C203" s="1561"/>
      <c r="D203" s="272"/>
      <c r="K203" s="1070"/>
      <c r="L203" s="1561"/>
      <c r="M203" s="1561"/>
      <c r="N203" s="1070"/>
      <c r="O203" s="1070"/>
      <c r="P203" s="1070"/>
      <c r="Q203" s="1070"/>
      <c r="R203" s="1561"/>
      <c r="S203" s="1070"/>
      <c r="T203" s="1070"/>
      <c r="U203" s="469"/>
      <c r="V203" s="1070"/>
      <c r="W203" s="1070"/>
      <c r="X203" s="1070"/>
      <c r="Y203" s="1070"/>
      <c r="Z203" s="1070"/>
      <c r="AA203" s="1557"/>
      <c r="AB203" s="491"/>
      <c r="AC203" s="491"/>
      <c r="AD203" s="491"/>
      <c r="AE203" s="491"/>
    </row>
    <row r="204" spans="1:31" s="1566" customFormat="1" ht="11.25" customHeight="1">
      <c r="A204" s="903"/>
      <c r="B204" s="1561"/>
      <c r="C204" s="1561"/>
      <c r="D204" s="272"/>
      <c r="K204" s="1070"/>
      <c r="L204" s="1561"/>
      <c r="M204" s="1561"/>
      <c r="N204" s="1070"/>
      <c r="O204" s="1070"/>
      <c r="P204" s="1070"/>
      <c r="Q204" s="1070"/>
      <c r="R204" s="1561"/>
      <c r="S204" s="1070"/>
      <c r="T204" s="1070"/>
      <c r="U204" s="469"/>
      <c r="V204" s="1070"/>
      <c r="W204" s="1070"/>
      <c r="X204" s="1070"/>
      <c r="Y204" s="1070"/>
      <c r="Z204" s="1070"/>
      <c r="AA204" s="1557"/>
      <c r="AB204" s="491"/>
      <c r="AC204" s="491"/>
      <c r="AD204" s="491"/>
      <c r="AE204" s="491"/>
    </row>
    <row r="208" spans="1:31" ht="11.25" customHeight="1">
      <c r="A208" s="906"/>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row>
    <row r="209" spans="1:31" ht="11.25" customHeight="1">
      <c r="A209" s="906"/>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row>
    <row r="210" spans="1:31" ht="11.25" customHeight="1">
      <c r="A210" s="906"/>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row>
    <row r="211" spans="1:31" ht="11.25" customHeight="1">
      <c r="A211" s="906"/>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row>
    <row r="212" spans="1:31" ht="11.25" customHeight="1">
      <c r="A212" s="906"/>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row>
    <row r="213" spans="1:31" ht="11.25" customHeight="1">
      <c r="A213" s="906"/>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row>
    <row r="214" spans="1:31" ht="11.25" customHeight="1">
      <c r="A214" s="906"/>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row>
    <row r="215" spans="1:31" ht="11.25" customHeight="1">
      <c r="A215" s="906"/>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row>
    <row r="216" spans="1:31" ht="11.25" customHeight="1">
      <c r="A216" s="906"/>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row>
    <row r="217" spans="1:31" ht="11.25" customHeight="1">
      <c r="A217" s="906"/>
      <c r="B217" s="1556"/>
      <c r="D217" s="1556"/>
      <c r="K217" s="1556"/>
      <c r="N217" s="1556"/>
      <c r="O217" s="1556"/>
      <c r="P217" s="1556"/>
      <c r="Q217" s="1556"/>
      <c r="S217" s="1556"/>
      <c r="T217" s="1556"/>
      <c r="U217" s="1556"/>
      <c r="V217" s="1556"/>
      <c r="W217" s="1556"/>
      <c r="X217" s="1556"/>
      <c r="Y217" s="1556"/>
      <c r="Z217" s="1556"/>
      <c r="AA217" s="1556"/>
      <c r="AB217" s="1556"/>
      <c r="AC217" s="1556"/>
      <c r="AD217" s="1556"/>
      <c r="AE217" s="1556"/>
    </row>
    <row r="218" spans="1:31" ht="11.25" customHeight="1">
      <c r="A218" s="906"/>
      <c r="B218" s="1556"/>
      <c r="D218" s="1556"/>
      <c r="K218" s="1556"/>
      <c r="N218" s="1556"/>
      <c r="O218" s="1556"/>
      <c r="P218" s="1556"/>
      <c r="Q218" s="1556"/>
      <c r="S218" s="1556"/>
      <c r="T218" s="1556"/>
      <c r="U218" s="1556"/>
      <c r="V218" s="1556"/>
      <c r="W218" s="1556"/>
      <c r="X218" s="1556"/>
      <c r="Y218" s="1556"/>
      <c r="Z218" s="1556"/>
      <c r="AA218" s="1556"/>
      <c r="AB218" s="1556"/>
      <c r="AC218" s="1556"/>
      <c r="AD218" s="1556"/>
      <c r="AE218" s="1556"/>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903" hidden="1" customWidth="1"/>
    <col min="2" max="2" width="16.796875" style="1292" hidden="1" customWidth="1"/>
    <col min="3" max="3" width="5.59765625" style="1567" hidden="1" customWidth="1"/>
    <col min="4" max="4" width="3.69921875" style="1560" customWidth="1"/>
    <col min="5" max="5" width="7.69921875" style="1560" customWidth="1"/>
    <col min="6" max="6" width="54.59765625" style="1560" customWidth="1"/>
    <col min="7" max="7" width="10.3984375" style="1560" customWidth="1"/>
    <col min="8" max="8" width="40.69921875" style="1560" hidden="1" customWidth="1"/>
    <col min="9" max="9" width="40.69921875" style="1560" customWidth="1"/>
    <col min="10" max="10" width="102.796875" style="1560" customWidth="1"/>
    <col min="11" max="11" width="9.69921875" style="1292" customWidth="1"/>
    <col min="12" max="12" width="5.296875" style="1567" customWidth="1"/>
    <col min="13" max="13" width="3.69921875" style="1567" customWidth="1"/>
    <col min="14" max="17" width="3.69921875" style="1292" customWidth="1"/>
    <col min="18" max="18" width="10.59765625" style="1567" customWidth="1"/>
    <col min="19" max="19" width="34.69921875" style="1292" customWidth="1"/>
    <col min="20" max="20" width="9.3984375" style="1292" customWidth="1"/>
    <col min="21" max="21" width="9.09765625" style="656"/>
    <col min="22" max="26" width="9.09765625" style="1292"/>
    <col min="27" max="31" width="9.09765625" style="1557"/>
  </cols>
  <sheetData>
    <row r="1" spans="1:31" s="1292" customFormat="1" ht="11.25" hidden="1" customHeight="1">
      <c r="A1" s="903"/>
      <c r="C1" s="1561"/>
      <c r="D1" s="462"/>
      <c r="H1" s="1070">
        <v>4</v>
      </c>
      <c r="I1" s="1070">
        <v>4</v>
      </c>
      <c r="L1" s="1561"/>
      <c r="M1" s="1561"/>
      <c r="R1" s="1561"/>
    </row>
    <row r="2" spans="1:31" s="1292" customFormat="1" ht="22.5" hidden="1" customHeight="1">
      <c r="A2" s="903"/>
      <c r="C2" s="1561"/>
      <c r="D2" s="463"/>
      <c r="E2" s="1583"/>
      <c r="F2" s="465"/>
      <c r="G2" s="1582" t="s">
        <v>1730</v>
      </c>
      <c r="H2" s="466"/>
      <c r="I2" s="466"/>
      <c r="J2" s="467" t="s">
        <v>1733</v>
      </c>
      <c r="K2" s="468"/>
      <c r="L2" s="1561"/>
      <c r="M2" s="1561"/>
      <c r="R2" s="1561"/>
      <c r="U2" s="469"/>
      <c r="AA2" s="1557"/>
      <c r="AB2" s="1557"/>
      <c r="AC2" s="1557"/>
      <c r="AD2" s="1557"/>
      <c r="AE2" s="1557"/>
    </row>
    <row r="3" spans="1:31" ht="11.25" hidden="1" customHeight="1"/>
    <row r="4" spans="1:31" s="1557" customFormat="1" ht="11.25" hidden="1" customHeight="1">
      <c r="A4" s="903"/>
      <c r="B4" s="1070"/>
      <c r="C4" s="1561"/>
      <c r="D4" s="285"/>
      <c r="J4" s="1557">
        <v>4</v>
      </c>
      <c r="K4" s="1070"/>
      <c r="L4" s="1561"/>
      <c r="M4" s="1561"/>
      <c r="N4" s="1070"/>
      <c r="O4" s="1070"/>
      <c r="P4" s="1070"/>
      <c r="Q4" s="1070"/>
      <c r="R4" s="1561"/>
      <c r="S4" s="1070"/>
      <c r="T4" s="1070"/>
      <c r="U4" s="469"/>
      <c r="V4" s="1070"/>
      <c r="W4" s="1070"/>
      <c r="X4" s="1070"/>
      <c r="Y4" s="1070"/>
      <c r="Z4" s="1070"/>
    </row>
    <row r="6" spans="1:31" ht="24" customHeight="1">
      <c r="E6" s="1833" t="s">
        <v>1829</v>
      </c>
      <c r="F6" s="1834"/>
      <c r="G6" s="1834"/>
      <c r="H6" s="1834"/>
      <c r="I6" s="1835"/>
      <c r="J6" s="481"/>
    </row>
    <row r="7" spans="1:31" ht="24" customHeight="1">
      <c r="E7" s="1940" t="str">
        <f>IF(org=0,"Не определено",org)</f>
        <v>НАО "СВЕЗА Мантурово"</v>
      </c>
      <c r="F7" s="1941"/>
      <c r="G7" s="1941"/>
      <c r="H7" s="1941"/>
      <c r="I7" s="1942"/>
    </row>
    <row r="8" spans="1:31" ht="11.25" customHeight="1">
      <c r="E8" s="1047"/>
      <c r="F8" s="1047"/>
      <c r="G8" s="1047"/>
      <c r="H8" s="1047"/>
      <c r="I8" s="1047"/>
    </row>
    <row r="9" spans="1:31" s="1567" customFormat="1" ht="0.75" customHeight="1">
      <c r="A9" s="1077"/>
      <c r="H9" s="807"/>
      <c r="I9" s="807" t="s">
        <v>113</v>
      </c>
    </row>
    <row r="10" spans="1:31" ht="11.25" customHeight="1">
      <c r="E10" s="630"/>
      <c r="F10" s="2130" t="s">
        <v>101</v>
      </c>
      <c r="G10" s="2131"/>
      <c r="H10" s="1584" t="str">
        <f>IF(H9="","",INDEX(DIFFERENTIATION_UNMERGE_VD,MATCH(H9,DIFFERENTIATION_ID_DIFF,0)))</f>
        <v/>
      </c>
      <c r="I10" s="1584">
        <f>IF(I9="","",INDEX(DIFFERENTIATION_UNMERGE_VD,MATCH(I9,DIFFERENTIATION_ID_DIFF,0)))</f>
        <v>0</v>
      </c>
      <c r="J10" s="1840"/>
    </row>
    <row r="11" spans="1:31" ht="11.25" customHeight="1">
      <c r="E11" s="630"/>
      <c r="F11" s="2130" t="s">
        <v>428</v>
      </c>
      <c r="G11" s="2131"/>
      <c r="H11" s="1584" t="str">
        <f>IF(H9="","",INDEX(DIFFERENTIATION_UNMERGE_AREA,MATCH(H9,DIFFERENTIATION_ID_DIFF,0)))</f>
        <v/>
      </c>
      <c r="I11" s="1584" t="str">
        <f>IF(I9="","",INDEX(DIFFERENTIATION_UNMERGE_AREA,MATCH(I9,DIFFERENTIATION_ID_DIFF,0)))</f>
        <v/>
      </c>
      <c r="J11" s="1840"/>
    </row>
    <row r="12" spans="1:31" ht="11.25" hidden="1" customHeight="1">
      <c r="E12" s="1587"/>
      <c r="F12" s="2164" t="s">
        <v>429</v>
      </c>
      <c r="G12" s="2165"/>
      <c r="H12" s="1588" t="str">
        <f>IF(H9="","",INDEX(DIFFERENTIATION_UNMERGE_SYSTEM,MATCH(H9,DIFFERENTIATION_ID_DIFF,0)))</f>
        <v/>
      </c>
      <c r="I12" s="1588" t="str">
        <f>IF(I9="","",INDEX(DIFFERENTIATION_UNMERGE_SYSTEM,MATCH(I9,DIFFERENTIATION_ID_DIFF,0)))</f>
        <v>без дифференциации</v>
      </c>
      <c r="J12" s="1840"/>
    </row>
    <row r="13" spans="1:31" ht="11.25" customHeight="1">
      <c r="E13" s="2132" t="s">
        <v>282</v>
      </c>
      <c r="F13" s="2133"/>
      <c r="G13" s="2133"/>
      <c r="H13" s="1581"/>
      <c r="I13" s="1581"/>
      <c r="J13" s="1840"/>
    </row>
    <row r="14" spans="1:31" ht="22.5" customHeight="1">
      <c r="E14" s="1582" t="s">
        <v>87</v>
      </c>
      <c r="F14" s="1585" t="s">
        <v>284</v>
      </c>
      <c r="G14" s="1585" t="s">
        <v>1626</v>
      </c>
      <c r="H14" s="1585" t="s">
        <v>285</v>
      </c>
      <c r="I14" s="1585" t="s">
        <v>285</v>
      </c>
      <c r="J14" s="1840"/>
    </row>
    <row r="15" spans="1:31" ht="18.75" customHeight="1">
      <c r="D15" s="1563"/>
      <c r="E15" s="1555" t="s">
        <v>105</v>
      </c>
      <c r="F15" s="626" t="s">
        <v>1830</v>
      </c>
      <c r="G15" s="1582" t="s">
        <v>1730</v>
      </c>
      <c r="H15" s="482"/>
      <c r="I15" s="482"/>
      <c r="J15" s="204" t="s">
        <v>1831</v>
      </c>
      <c r="K15" s="468" t="s">
        <v>1782</v>
      </c>
    </row>
    <row r="16" spans="1:31" ht="22.5" customHeight="1">
      <c r="D16" s="1563"/>
      <c r="E16" s="1555" t="s">
        <v>106</v>
      </c>
      <c r="F16" s="1590" t="s">
        <v>1832</v>
      </c>
      <c r="G16" s="1582" t="s">
        <v>1730</v>
      </c>
      <c r="H16" s="483">
        <f>SUM(H17,H20:H27)</f>
        <v>0</v>
      </c>
      <c r="I16" s="483">
        <f>SUM(I17,I20:I27)</f>
        <v>0</v>
      </c>
      <c r="J16" s="204" t="s">
        <v>1833</v>
      </c>
      <c r="K16" s="468" t="s">
        <v>1782</v>
      </c>
    </row>
    <row r="17" spans="1:31" ht="33.75" customHeight="1">
      <c r="D17" s="1563"/>
      <c r="E17" s="1589" t="s">
        <v>466</v>
      </c>
      <c r="F17" s="1592" t="s">
        <v>1834</v>
      </c>
      <c r="G17" s="1579" t="s">
        <v>1730</v>
      </c>
      <c r="H17" s="482"/>
      <c r="I17" s="482"/>
      <c r="J17" s="204" t="s">
        <v>1835</v>
      </c>
      <c r="K17" s="468"/>
    </row>
    <row r="18" spans="1:31" ht="18.75" customHeight="1">
      <c r="D18" s="1563"/>
      <c r="E18" s="1589" t="s">
        <v>468</v>
      </c>
      <c r="F18" s="1593" t="s">
        <v>1836</v>
      </c>
      <c r="G18" s="1579" t="s">
        <v>1730</v>
      </c>
      <c r="H18" s="482"/>
      <c r="I18" s="482"/>
      <c r="J18" s="204"/>
      <c r="K18" s="468"/>
    </row>
    <row r="19" spans="1:31" ht="22.5" customHeight="1">
      <c r="D19" s="1563"/>
      <c r="E19" s="1589" t="s">
        <v>1789</v>
      </c>
      <c r="F19" s="1593" t="s">
        <v>1837</v>
      </c>
      <c r="G19" s="1579" t="s">
        <v>1730</v>
      </c>
      <c r="H19" s="482"/>
      <c r="I19" s="482"/>
      <c r="J19" s="204"/>
      <c r="K19" s="468"/>
    </row>
    <row r="20" spans="1:31" ht="33.75" customHeight="1">
      <c r="D20" s="1563"/>
      <c r="E20" s="1589" t="s">
        <v>290</v>
      </c>
      <c r="F20" s="1592" t="s">
        <v>1838</v>
      </c>
      <c r="G20" s="1579" t="s">
        <v>1730</v>
      </c>
      <c r="H20" s="482"/>
      <c r="I20" s="482"/>
      <c r="J20" s="204"/>
      <c r="K20" s="468"/>
    </row>
    <row r="21" spans="1:31" ht="33.75" customHeight="1">
      <c r="D21" s="1563"/>
      <c r="E21" s="1589" t="s">
        <v>293</v>
      </c>
      <c r="F21" s="1592" t="s">
        <v>1839</v>
      </c>
      <c r="G21" s="1579" t="s">
        <v>1730</v>
      </c>
      <c r="H21" s="482"/>
      <c r="I21" s="482"/>
      <c r="J21" s="204"/>
      <c r="K21" s="468"/>
    </row>
    <row r="22" spans="1:31" ht="56.25" customHeight="1">
      <c r="D22" s="1563"/>
      <c r="E22" s="1589" t="s">
        <v>1378</v>
      </c>
      <c r="F22" s="1592" t="s">
        <v>1840</v>
      </c>
      <c r="G22" s="1579" t="s">
        <v>1730</v>
      </c>
      <c r="H22" s="482"/>
      <c r="I22" s="482"/>
      <c r="J22" s="204"/>
      <c r="K22" s="468"/>
    </row>
    <row r="23" spans="1:31" ht="33.75" customHeight="1">
      <c r="D23" s="1563"/>
      <c r="E23" s="1589" t="s">
        <v>1380</v>
      </c>
      <c r="F23" s="1592" t="s">
        <v>1841</v>
      </c>
      <c r="G23" s="1579" t="s">
        <v>1730</v>
      </c>
      <c r="H23" s="482"/>
      <c r="I23" s="482"/>
      <c r="J23" s="204"/>
      <c r="K23" s="468"/>
    </row>
    <row r="24" spans="1:31" ht="33.75" customHeight="1">
      <c r="D24" s="1563"/>
      <c r="E24" s="1589" t="s">
        <v>1394</v>
      </c>
      <c r="F24" s="1592" t="s">
        <v>1842</v>
      </c>
      <c r="G24" s="1579" t="s">
        <v>1730</v>
      </c>
      <c r="H24" s="482"/>
      <c r="I24" s="482"/>
      <c r="J24" s="204"/>
      <c r="K24" s="468"/>
    </row>
    <row r="25" spans="1:31" ht="22.5" customHeight="1">
      <c r="D25" s="1563"/>
      <c r="E25" s="1589" t="s">
        <v>1405</v>
      </c>
      <c r="F25" s="1592" t="s">
        <v>1843</v>
      </c>
      <c r="G25" s="1579" t="s">
        <v>1730</v>
      </c>
      <c r="H25" s="482"/>
      <c r="I25" s="482"/>
      <c r="J25" s="204"/>
      <c r="K25" s="468"/>
    </row>
    <row r="26" spans="1:31" ht="67.5" customHeight="1">
      <c r="D26" s="1563"/>
      <c r="E26" s="1589" t="s">
        <v>1416</v>
      </c>
      <c r="F26" s="1592" t="s">
        <v>1844</v>
      </c>
      <c r="G26" s="1579" t="s">
        <v>1730</v>
      </c>
      <c r="H26" s="482"/>
      <c r="I26" s="482"/>
      <c r="J26" s="204"/>
      <c r="K26" s="468"/>
    </row>
    <row r="27" spans="1:31" s="1292" customFormat="1" ht="22.5" customHeight="1">
      <c r="A27" s="903"/>
      <c r="C27" s="1561"/>
      <c r="D27" s="1563"/>
      <c r="E27" s="1554" t="s">
        <v>1424</v>
      </c>
      <c r="F27" s="1553" t="s">
        <v>1845</v>
      </c>
      <c r="G27" s="1580" t="s">
        <v>1730</v>
      </c>
      <c r="H27" s="504">
        <f>SUM(H28:H29)</f>
        <v>0</v>
      </c>
      <c r="I27" s="504">
        <f>SUM(I28:I29)</f>
        <v>0</v>
      </c>
      <c r="J27" s="204" t="s">
        <v>1807</v>
      </c>
      <c r="K27" s="468"/>
      <c r="L27" s="1561"/>
      <c r="M27" s="1561"/>
      <c r="R27" s="1561"/>
      <c r="U27" s="469"/>
      <c r="AA27" s="1557"/>
      <c r="AB27" s="1557"/>
      <c r="AC27" s="1557"/>
      <c r="AD27" s="1557"/>
      <c r="AE27" s="1557"/>
    </row>
    <row r="28" spans="1:31" s="1567" customFormat="1" ht="0.75" customHeight="1">
      <c r="A28" s="1077"/>
      <c r="D28" s="473"/>
      <c r="E28" s="720" t="str">
        <f>E27&amp;".0"</f>
        <v>2.9.0</v>
      </c>
      <c r="F28" s="907"/>
      <c r="G28" s="476"/>
      <c r="H28" s="908"/>
      <c r="I28" s="908"/>
      <c r="J28" s="909"/>
    </row>
    <row r="29" spans="1:31" s="1292" customFormat="1" ht="18.75" customHeight="1">
      <c r="A29" s="903"/>
      <c r="C29" s="1561"/>
      <c r="D29" s="1558"/>
      <c r="E29" s="495"/>
      <c r="F29" s="1591" t="s">
        <v>1748</v>
      </c>
      <c r="G29" s="497"/>
      <c r="H29" s="498"/>
      <c r="I29" s="498"/>
      <c r="J29" s="215" t="s">
        <v>1808</v>
      </c>
      <c r="K29" s="468"/>
      <c r="L29" s="1561"/>
      <c r="M29" s="1561"/>
      <c r="R29" s="1561"/>
      <c r="U29" s="469"/>
      <c r="AA29" s="1557"/>
      <c r="AB29" s="1557"/>
      <c r="AC29" s="1557"/>
      <c r="AD29" s="1557"/>
      <c r="AE29" s="1557"/>
    </row>
    <row r="30" spans="1:31" s="1292" customFormat="1" ht="22.5" customHeight="1">
      <c r="A30" s="903"/>
      <c r="C30" s="1561"/>
      <c r="D30" s="1563"/>
      <c r="E30" s="1589" t="s">
        <v>89</v>
      </c>
      <c r="F30" s="1586" t="s">
        <v>1846</v>
      </c>
      <c r="G30" s="1579" t="s">
        <v>1730</v>
      </c>
      <c r="H30" s="482"/>
      <c r="I30" s="482"/>
      <c r="J30" s="204"/>
      <c r="K30" s="468"/>
      <c r="L30" s="1561"/>
      <c r="M30" s="1561"/>
      <c r="R30" s="1561"/>
      <c r="U30" s="469"/>
      <c r="AA30" s="1557"/>
      <c r="AB30" s="1557"/>
      <c r="AC30" s="1557"/>
      <c r="AD30" s="1557"/>
      <c r="AE30" s="1557"/>
    </row>
    <row r="31" spans="1:31" s="1292" customFormat="1" ht="33.75" customHeight="1">
      <c r="A31" s="903"/>
      <c r="C31" s="1561"/>
      <c r="D31" s="500"/>
      <c r="E31" s="1589" t="s">
        <v>90</v>
      </c>
      <c r="F31" s="1586" t="s">
        <v>1847</v>
      </c>
      <c r="G31" s="1579" t="s">
        <v>1730</v>
      </c>
      <c r="H31" s="482"/>
      <c r="I31" s="482"/>
      <c r="J31" s="204" t="s">
        <v>1848</v>
      </c>
      <c r="K31" s="468"/>
      <c r="L31" s="1561"/>
      <c r="M31" s="1561"/>
      <c r="R31" s="1561"/>
      <c r="U31" s="469"/>
      <c r="AA31" s="1557"/>
      <c r="AB31" s="1557"/>
      <c r="AC31" s="1557"/>
      <c r="AD31" s="1557"/>
      <c r="AE31" s="1557"/>
    </row>
    <row r="32" spans="1:31" s="1292" customFormat="1" ht="22.5" customHeight="1">
      <c r="A32" s="903"/>
      <c r="C32" s="1561"/>
      <c r="D32" s="1563"/>
      <c r="E32" s="1589" t="s">
        <v>1477</v>
      </c>
      <c r="F32" s="610" t="s">
        <v>1815</v>
      </c>
      <c r="G32" s="1579" t="s">
        <v>1730</v>
      </c>
      <c r="H32" s="482"/>
      <c r="I32" s="482"/>
      <c r="J32" s="204" t="s">
        <v>1849</v>
      </c>
      <c r="K32" s="468"/>
      <c r="L32" s="1561"/>
      <c r="M32" s="1561"/>
      <c r="R32" s="1561"/>
      <c r="U32" s="469"/>
      <c r="AA32" s="1557"/>
      <c r="AB32" s="1557"/>
      <c r="AC32" s="1557"/>
      <c r="AD32" s="1557"/>
      <c r="AE32" s="1557"/>
    </row>
    <row r="33" spans="1:31" s="1292" customFormat="1" ht="22.5" customHeight="1">
      <c r="A33" s="903"/>
      <c r="C33" s="1561"/>
      <c r="D33" s="1563"/>
      <c r="E33" s="1589" t="s">
        <v>1494</v>
      </c>
      <c r="F33" s="610" t="s">
        <v>1850</v>
      </c>
      <c r="G33" s="1579" t="s">
        <v>1730</v>
      </c>
      <c r="H33" s="482"/>
      <c r="I33" s="482"/>
      <c r="J33" s="204" t="s">
        <v>1851</v>
      </c>
      <c r="K33" s="468"/>
      <c r="L33" s="1561"/>
      <c r="M33" s="1561"/>
      <c r="R33" s="1561"/>
      <c r="U33" s="469"/>
      <c r="AA33" s="1557"/>
      <c r="AB33" s="1557"/>
      <c r="AC33" s="1557"/>
      <c r="AD33" s="1557"/>
      <c r="AE33" s="1557"/>
    </row>
    <row r="34" spans="1:31" s="1292" customFormat="1" ht="22.5" customHeight="1">
      <c r="A34" s="903"/>
      <c r="C34" s="1561"/>
      <c r="D34" s="1563"/>
      <c r="E34" s="1589" t="s">
        <v>1641</v>
      </c>
      <c r="F34" s="610" t="s">
        <v>1818</v>
      </c>
      <c r="G34" s="1579" t="s">
        <v>1730</v>
      </c>
      <c r="H34" s="482"/>
      <c r="I34" s="482"/>
      <c r="J34" s="204" t="s">
        <v>1852</v>
      </c>
      <c r="K34" s="468"/>
      <c r="L34" s="1561"/>
      <c r="M34" s="1561"/>
      <c r="R34" s="1561"/>
      <c r="U34" s="469"/>
      <c r="AA34" s="1557"/>
      <c r="AB34" s="1557"/>
      <c r="AC34" s="1557"/>
      <c r="AD34" s="1557"/>
      <c r="AE34" s="1557"/>
    </row>
    <row r="35" spans="1:31" s="1292" customFormat="1" ht="33.75" customHeight="1">
      <c r="A35" s="903"/>
      <c r="C35" s="1561" t="s">
        <v>1757</v>
      </c>
      <c r="D35" s="1563"/>
      <c r="E35" s="1589" t="s">
        <v>107</v>
      </c>
      <c r="F35" s="1586" t="s">
        <v>1500</v>
      </c>
      <c r="G35" s="1582" t="s">
        <v>288</v>
      </c>
      <c r="H35" s="331"/>
      <c r="I35" s="331"/>
      <c r="J35" s="204" t="s">
        <v>1853</v>
      </c>
      <c r="K35" s="468"/>
      <c r="L35" s="1561"/>
      <c r="M35" s="1561"/>
      <c r="R35" s="1561"/>
      <c r="U35" s="469"/>
      <c r="AA35" s="1557"/>
      <c r="AB35" s="1557"/>
      <c r="AC35" s="1557"/>
      <c r="AD35" s="1557"/>
      <c r="AE35" s="1557"/>
    </row>
    <row r="36" spans="1:31" s="1292" customFormat="1" ht="22.5" customHeight="1">
      <c r="A36" s="903"/>
      <c r="C36" s="1561"/>
      <c r="D36" s="1563"/>
      <c r="E36" s="1589" t="s">
        <v>91</v>
      </c>
      <c r="F36" s="1586" t="s">
        <v>1854</v>
      </c>
      <c r="G36" s="1579" t="s">
        <v>1823</v>
      </c>
      <c r="H36" s="470"/>
      <c r="I36" s="470"/>
      <c r="J36" s="204" t="s">
        <v>1824</v>
      </c>
      <c r="K36" s="468"/>
      <c r="L36" s="1561"/>
      <c r="M36" s="1561"/>
      <c r="R36" s="1561"/>
      <c r="U36" s="469"/>
      <c r="AA36" s="1557"/>
      <c r="AB36" s="1557"/>
      <c r="AC36" s="1557"/>
      <c r="AD36" s="1557"/>
      <c r="AE36" s="1557"/>
    </row>
    <row r="37" spans="1:31" s="1292" customFormat="1" ht="22.5" customHeight="1">
      <c r="A37" s="903"/>
      <c r="C37" s="1561"/>
      <c r="D37" s="1563"/>
      <c r="E37" s="1589" t="s">
        <v>92</v>
      </c>
      <c r="F37" s="1586" t="s">
        <v>1855</v>
      </c>
      <c r="G37" s="1579" t="s">
        <v>1826</v>
      </c>
      <c r="H37" s="470"/>
      <c r="I37" s="470"/>
      <c r="J37" s="204" t="s">
        <v>1827</v>
      </c>
      <c r="K37" s="468"/>
      <c r="L37" s="1561"/>
      <c r="M37" s="1561"/>
      <c r="R37" s="1561"/>
      <c r="U37" s="469"/>
      <c r="AA37" s="1557"/>
      <c r="AB37" s="1557"/>
      <c r="AC37" s="1557"/>
      <c r="AD37" s="1557"/>
      <c r="AE37" s="1557"/>
    </row>
    <row r="38" spans="1:31" ht="11.25" customHeight="1">
      <c r="D38" s="1563"/>
    </row>
    <row r="39" spans="1:31" ht="26.25" customHeight="1">
      <c r="D39" s="1563"/>
      <c r="E39" s="1174" t="s">
        <v>520</v>
      </c>
      <c r="F39" s="2041" t="s">
        <v>1856</v>
      </c>
      <c r="G39" s="2041"/>
      <c r="H39" s="2041"/>
      <c r="I39" s="2041"/>
      <c r="J39" s="2041"/>
    </row>
    <row r="40" spans="1:31" s="1566" customFormat="1" ht="37.5" customHeight="1">
      <c r="A40" s="903"/>
      <c r="B40" s="1561"/>
      <c r="C40" s="1561"/>
      <c r="D40" s="272"/>
      <c r="F40" s="2041" t="s">
        <v>1857</v>
      </c>
      <c r="G40" s="2041"/>
      <c r="H40" s="2041"/>
      <c r="I40" s="2041"/>
      <c r="J40" s="2041"/>
      <c r="K40" s="1070"/>
      <c r="L40" s="1561"/>
      <c r="M40" s="1561"/>
      <c r="N40" s="1070"/>
      <c r="O40" s="1070"/>
      <c r="P40" s="1070"/>
      <c r="Q40" s="1070"/>
      <c r="R40" s="1561"/>
      <c r="S40" s="1070"/>
      <c r="T40" s="1070"/>
      <c r="U40" s="469"/>
      <c r="V40" s="1070"/>
      <c r="W40" s="1070"/>
      <c r="X40" s="1070"/>
      <c r="Y40" s="1070"/>
      <c r="Z40" s="1070"/>
      <c r="AA40" s="1557"/>
      <c r="AB40" s="491"/>
      <c r="AC40" s="491"/>
      <c r="AD40" s="491"/>
      <c r="AE40" s="491"/>
    </row>
    <row r="41" spans="1:31" s="1566" customFormat="1" ht="11.25" customHeight="1">
      <c r="A41" s="903"/>
      <c r="B41" s="1561"/>
      <c r="C41" s="1561"/>
      <c r="D41" s="272"/>
      <c r="K41" s="1070"/>
      <c r="L41" s="1561"/>
      <c r="M41" s="1561"/>
      <c r="N41" s="1070"/>
      <c r="O41" s="1070"/>
      <c r="P41" s="1070"/>
      <c r="Q41" s="1070"/>
      <c r="R41" s="1561"/>
      <c r="S41" s="1070"/>
      <c r="T41" s="1070"/>
      <c r="U41" s="469"/>
      <c r="V41" s="1070"/>
      <c r="W41" s="1070"/>
      <c r="X41" s="1070"/>
      <c r="Y41" s="1070"/>
      <c r="Z41" s="1070"/>
      <c r="AA41" s="1557"/>
      <c r="AB41" s="491"/>
      <c r="AC41" s="491"/>
      <c r="AD41" s="491"/>
      <c r="AE41" s="491"/>
    </row>
    <row r="42" spans="1:31" s="1566" customFormat="1" ht="11.25" customHeight="1">
      <c r="A42" s="903"/>
      <c r="B42" s="1561"/>
      <c r="C42" s="1561"/>
      <c r="D42" s="272"/>
      <c r="K42" s="1070"/>
      <c r="L42" s="1561"/>
      <c r="M42" s="1561"/>
      <c r="N42" s="1070"/>
      <c r="O42" s="1070"/>
      <c r="P42" s="1070"/>
      <c r="Q42" s="1070"/>
      <c r="R42" s="1561"/>
      <c r="S42" s="1070"/>
      <c r="T42" s="1070"/>
      <c r="U42" s="469"/>
      <c r="V42" s="1070"/>
      <c r="W42" s="1070"/>
      <c r="X42" s="1070"/>
      <c r="Y42" s="1070"/>
      <c r="Z42" s="1070"/>
      <c r="AA42" s="1557"/>
      <c r="AB42" s="491"/>
      <c r="AC42" s="491"/>
      <c r="AD42" s="491"/>
      <c r="AE42" s="491"/>
    </row>
    <row r="43" spans="1:31" s="1566" customFormat="1" ht="11.25" customHeight="1">
      <c r="A43" s="903"/>
      <c r="B43" s="1561"/>
      <c r="C43" s="1561"/>
      <c r="D43" s="272"/>
      <c r="H43" s="491"/>
      <c r="I43" s="491"/>
      <c r="K43" s="1070"/>
      <c r="L43" s="1561"/>
      <c r="M43" s="1561"/>
      <c r="N43" s="1070"/>
      <c r="O43" s="1070"/>
      <c r="P43" s="1070"/>
      <c r="Q43" s="1070"/>
      <c r="R43" s="1561"/>
      <c r="S43" s="1070"/>
      <c r="T43" s="1070"/>
      <c r="U43" s="469"/>
      <c r="V43" s="1070"/>
      <c r="W43" s="1070"/>
      <c r="X43" s="1070"/>
      <c r="Y43" s="1070"/>
      <c r="Z43" s="1070"/>
      <c r="AA43" s="1557"/>
      <c r="AB43" s="491"/>
      <c r="AC43" s="491"/>
      <c r="AD43" s="491"/>
      <c r="AE43" s="491"/>
    </row>
    <row r="44" spans="1:31" s="1566" customFormat="1" ht="11.25" customHeight="1">
      <c r="A44" s="903"/>
      <c r="B44" s="1561"/>
      <c r="C44" s="1561"/>
      <c r="D44" s="272"/>
      <c r="K44" s="1070"/>
      <c r="L44" s="1561"/>
      <c r="M44" s="1561"/>
      <c r="N44" s="1070"/>
      <c r="O44" s="1070"/>
      <c r="P44" s="1070"/>
      <c r="Q44" s="1070"/>
      <c r="R44" s="1561"/>
      <c r="S44" s="1070"/>
      <c r="T44" s="1070"/>
      <c r="U44" s="469"/>
      <c r="V44" s="1070"/>
      <c r="W44" s="1070"/>
      <c r="X44" s="1070"/>
      <c r="Y44" s="1070"/>
      <c r="Z44" s="1070"/>
      <c r="AA44" s="1557"/>
      <c r="AB44" s="491"/>
      <c r="AC44" s="491"/>
      <c r="AD44" s="491"/>
      <c r="AE44" s="491"/>
    </row>
    <row r="45" spans="1:31" s="1566" customFormat="1" ht="11.25" customHeight="1">
      <c r="A45" s="903"/>
      <c r="B45" s="1561"/>
      <c r="C45" s="1561"/>
      <c r="D45" s="272"/>
      <c r="K45" s="1070"/>
      <c r="L45" s="1561"/>
      <c r="M45" s="1561"/>
      <c r="N45" s="1070"/>
      <c r="O45" s="1070"/>
      <c r="P45" s="1070"/>
      <c r="Q45" s="1070"/>
      <c r="R45" s="1561"/>
      <c r="S45" s="1070"/>
      <c r="T45" s="1070"/>
      <c r="U45" s="469"/>
      <c r="V45" s="1070"/>
      <c r="W45" s="1070"/>
      <c r="X45" s="1070"/>
      <c r="Y45" s="1070"/>
      <c r="Z45" s="1070"/>
      <c r="AA45" s="1557"/>
      <c r="AB45" s="491"/>
      <c r="AC45" s="491"/>
      <c r="AD45" s="491"/>
      <c r="AE45" s="491"/>
    </row>
    <row r="46" spans="1:31" s="1566" customFormat="1" ht="11.25" customHeight="1">
      <c r="A46" s="903"/>
      <c r="B46" s="1561"/>
      <c r="C46" s="1561"/>
      <c r="D46" s="272"/>
      <c r="K46" s="1070"/>
      <c r="L46" s="1561"/>
      <c r="M46" s="1561"/>
      <c r="N46" s="1070"/>
      <c r="O46" s="1070"/>
      <c r="P46" s="1070"/>
      <c r="Q46" s="1070"/>
      <c r="R46" s="1561"/>
      <c r="S46" s="1070"/>
      <c r="T46" s="1070"/>
      <c r="U46" s="469"/>
      <c r="V46" s="1070"/>
      <c r="W46" s="1070"/>
      <c r="X46" s="1070"/>
      <c r="Y46" s="1070"/>
      <c r="Z46" s="1070"/>
      <c r="AA46" s="1557"/>
      <c r="AB46" s="491"/>
      <c r="AC46" s="491"/>
      <c r="AD46" s="491"/>
      <c r="AE46" s="491"/>
    </row>
    <row r="47" spans="1:31" s="1566" customFormat="1" ht="11.25" customHeight="1">
      <c r="A47" s="903"/>
      <c r="B47" s="1561"/>
      <c r="C47" s="1561"/>
      <c r="D47" s="272"/>
      <c r="K47" s="1070"/>
      <c r="L47" s="1561"/>
      <c r="M47" s="1561"/>
      <c r="N47" s="1070"/>
      <c r="O47" s="1070"/>
      <c r="P47" s="1070"/>
      <c r="Q47" s="1070"/>
      <c r="R47" s="1561"/>
      <c r="S47" s="1070"/>
      <c r="T47" s="1070"/>
      <c r="U47" s="469"/>
      <c r="V47" s="1070"/>
      <c r="W47" s="1070"/>
      <c r="X47" s="1070"/>
      <c r="Y47" s="1070"/>
      <c r="Z47" s="1070"/>
      <c r="AA47" s="1557"/>
      <c r="AB47" s="491"/>
      <c r="AC47" s="491"/>
      <c r="AD47" s="491"/>
      <c r="AE47" s="491"/>
    </row>
    <row r="48" spans="1:31" s="1566" customFormat="1" ht="11.25" customHeight="1">
      <c r="A48" s="903"/>
      <c r="B48" s="1561"/>
      <c r="C48" s="1561"/>
      <c r="D48" s="272"/>
      <c r="K48" s="1070"/>
      <c r="L48" s="1561"/>
      <c r="M48" s="1561"/>
      <c r="N48" s="1070"/>
      <c r="O48" s="1070"/>
      <c r="P48" s="1070"/>
      <c r="Q48" s="1070"/>
      <c r="R48" s="1561"/>
      <c r="S48" s="1070"/>
      <c r="T48" s="1070"/>
      <c r="U48" s="469"/>
      <c r="V48" s="1070"/>
      <c r="W48" s="1070"/>
      <c r="X48" s="1070"/>
      <c r="Y48" s="1070"/>
      <c r="Z48" s="1070"/>
      <c r="AA48" s="1557"/>
      <c r="AB48" s="491"/>
      <c r="AC48" s="491"/>
      <c r="AD48" s="491"/>
      <c r="AE48" s="491"/>
    </row>
    <row r="49" spans="1:31" s="1566" customFormat="1" ht="11.25" customHeight="1">
      <c r="A49" s="903"/>
      <c r="B49" s="1561"/>
      <c r="C49" s="1561"/>
      <c r="D49" s="272"/>
      <c r="K49" s="1070"/>
      <c r="L49" s="1561"/>
      <c r="M49" s="1561"/>
      <c r="N49" s="1070"/>
      <c r="O49" s="1070"/>
      <c r="P49" s="1070"/>
      <c r="Q49" s="1070"/>
      <c r="R49" s="1561"/>
      <c r="S49" s="1070"/>
      <c r="T49" s="1070"/>
      <c r="U49" s="469"/>
      <c r="V49" s="1070"/>
      <c r="W49" s="1070"/>
      <c r="X49" s="1070"/>
      <c r="Y49" s="1070"/>
      <c r="Z49" s="1070"/>
      <c r="AA49" s="1557"/>
      <c r="AB49" s="491"/>
      <c r="AC49" s="491"/>
      <c r="AD49" s="491"/>
      <c r="AE49" s="491"/>
    </row>
    <row r="50" spans="1:31" s="1566" customFormat="1" ht="11.25" customHeight="1">
      <c r="A50" s="903"/>
      <c r="B50" s="1561"/>
      <c r="C50" s="1561"/>
      <c r="D50" s="272"/>
      <c r="K50" s="1070"/>
      <c r="L50" s="1561"/>
      <c r="M50" s="1561"/>
      <c r="N50" s="1070"/>
      <c r="O50" s="1070"/>
      <c r="P50" s="1070"/>
      <c r="Q50" s="1070"/>
      <c r="R50" s="1561"/>
      <c r="S50" s="1070"/>
      <c r="T50" s="1070"/>
      <c r="U50" s="469"/>
      <c r="V50" s="1070"/>
      <c r="W50" s="1070"/>
      <c r="X50" s="1070"/>
      <c r="Y50" s="1070"/>
      <c r="Z50" s="1070"/>
      <c r="AA50" s="1557"/>
      <c r="AB50" s="491"/>
      <c r="AC50" s="491"/>
      <c r="AD50" s="491"/>
      <c r="AE50" s="491"/>
    </row>
    <row r="51" spans="1:31" s="1566" customFormat="1" ht="11.25" customHeight="1">
      <c r="A51" s="903"/>
      <c r="B51" s="1561"/>
      <c r="C51" s="1561"/>
      <c r="D51" s="272"/>
      <c r="K51" s="1070"/>
      <c r="L51" s="1561"/>
      <c r="M51" s="1561"/>
      <c r="N51" s="1070"/>
      <c r="O51" s="1070"/>
      <c r="P51" s="1070"/>
      <c r="Q51" s="1070"/>
      <c r="R51" s="1561"/>
      <c r="S51" s="1070"/>
      <c r="T51" s="1070"/>
      <c r="U51" s="469"/>
      <c r="V51" s="1070"/>
      <c r="W51" s="1070"/>
      <c r="X51" s="1070"/>
      <c r="Y51" s="1070"/>
      <c r="Z51" s="1070"/>
      <c r="AA51" s="1557"/>
      <c r="AB51" s="491"/>
      <c r="AC51" s="491"/>
      <c r="AD51" s="491"/>
      <c r="AE51" s="491"/>
    </row>
    <row r="52" spans="1:31" s="1566" customFormat="1" ht="11.25" customHeight="1">
      <c r="A52" s="903"/>
      <c r="B52" s="1561"/>
      <c r="C52" s="1561"/>
      <c r="D52" s="272"/>
      <c r="K52" s="1070"/>
      <c r="L52" s="1561"/>
      <c r="M52" s="1561"/>
      <c r="N52" s="1070"/>
      <c r="O52" s="1070"/>
      <c r="P52" s="1070"/>
      <c r="Q52" s="1070"/>
      <c r="R52" s="1561"/>
      <c r="S52" s="1070"/>
      <c r="T52" s="1070"/>
      <c r="U52" s="469"/>
      <c r="V52" s="1070"/>
      <c r="W52" s="1070"/>
      <c r="X52" s="1070"/>
      <c r="Y52" s="1070"/>
      <c r="Z52" s="1070"/>
      <c r="AA52" s="1557"/>
      <c r="AB52" s="491"/>
      <c r="AC52" s="491"/>
      <c r="AD52" s="491"/>
      <c r="AE52" s="491"/>
    </row>
    <row r="53" spans="1:31" s="1566" customFormat="1" ht="11.25" customHeight="1">
      <c r="A53" s="903"/>
      <c r="B53" s="1561"/>
      <c r="C53" s="1561"/>
      <c r="D53" s="272"/>
      <c r="K53" s="1070"/>
      <c r="L53" s="1561"/>
      <c r="M53" s="1561"/>
      <c r="N53" s="1070"/>
      <c r="O53" s="1070"/>
      <c r="P53" s="1070"/>
      <c r="Q53" s="1070"/>
      <c r="R53" s="1561"/>
      <c r="S53" s="1070"/>
      <c r="T53" s="1070"/>
      <c r="U53" s="469"/>
      <c r="V53" s="1070"/>
      <c r="W53" s="1070"/>
      <c r="X53" s="1070"/>
      <c r="Y53" s="1070"/>
      <c r="Z53" s="1070"/>
      <c r="AA53" s="1557"/>
      <c r="AB53" s="491"/>
      <c r="AC53" s="491"/>
      <c r="AD53" s="491"/>
      <c r="AE53" s="491"/>
    </row>
    <row r="54" spans="1:31" s="1566" customFormat="1" ht="11.25" customHeight="1">
      <c r="A54" s="903"/>
      <c r="B54" s="1561"/>
      <c r="C54" s="1561"/>
      <c r="D54" s="272"/>
      <c r="K54" s="1070"/>
      <c r="L54" s="1561"/>
      <c r="M54" s="1561"/>
      <c r="N54" s="1070"/>
      <c r="O54" s="1070"/>
      <c r="P54" s="1070"/>
      <c r="Q54" s="1070"/>
      <c r="R54" s="1561"/>
      <c r="S54" s="1070"/>
      <c r="T54" s="1070"/>
      <c r="U54" s="469"/>
      <c r="V54" s="1070"/>
      <c r="W54" s="1070"/>
      <c r="X54" s="1070"/>
      <c r="Y54" s="1070"/>
      <c r="Z54" s="1070"/>
      <c r="AA54" s="1557"/>
      <c r="AB54" s="491"/>
      <c r="AC54" s="491"/>
      <c r="AD54" s="491"/>
      <c r="AE54" s="491"/>
    </row>
    <row r="55" spans="1:31" s="1566" customFormat="1" ht="11.25" customHeight="1">
      <c r="A55" s="903"/>
      <c r="B55" s="1561"/>
      <c r="C55" s="1561"/>
      <c r="D55" s="272"/>
      <c r="K55" s="1070"/>
      <c r="L55" s="1561"/>
      <c r="M55" s="1561"/>
      <c r="N55" s="1070"/>
      <c r="O55" s="1070"/>
      <c r="P55" s="1070"/>
      <c r="Q55" s="1070"/>
      <c r="R55" s="1561"/>
      <c r="S55" s="1070"/>
      <c r="T55" s="1070"/>
      <c r="U55" s="469"/>
      <c r="V55" s="1070"/>
      <c r="W55" s="1070"/>
      <c r="X55" s="1070"/>
      <c r="Y55" s="1070"/>
      <c r="Z55" s="1070"/>
      <c r="AA55" s="1557"/>
      <c r="AB55" s="491"/>
      <c r="AC55" s="491"/>
      <c r="AD55" s="491"/>
      <c r="AE55" s="491"/>
    </row>
    <row r="56" spans="1:31" s="1566" customFormat="1" ht="11.25" customHeight="1">
      <c r="A56" s="903"/>
      <c r="B56" s="1561"/>
      <c r="C56" s="1561"/>
      <c r="D56" s="272"/>
      <c r="K56" s="1070"/>
      <c r="L56" s="1561"/>
      <c r="M56" s="1561"/>
      <c r="N56" s="1070"/>
      <c r="O56" s="1070"/>
      <c r="P56" s="1070"/>
      <c r="Q56" s="1070"/>
      <c r="R56" s="1561"/>
      <c r="S56" s="1070"/>
      <c r="T56" s="1070"/>
      <c r="U56" s="469"/>
      <c r="V56" s="1070"/>
      <c r="W56" s="1070"/>
      <c r="X56" s="1070"/>
      <c r="Y56" s="1070"/>
      <c r="Z56" s="1070"/>
      <c r="AA56" s="1557"/>
      <c r="AB56" s="491"/>
      <c r="AC56" s="491"/>
      <c r="AD56" s="491"/>
      <c r="AE56" s="491"/>
    </row>
    <row r="57" spans="1:31" s="1566" customFormat="1" ht="11.25" customHeight="1">
      <c r="A57" s="903"/>
      <c r="B57" s="1561"/>
      <c r="C57" s="1561"/>
      <c r="D57" s="272"/>
      <c r="K57" s="1070"/>
      <c r="L57" s="1561"/>
      <c r="M57" s="1561"/>
      <c r="N57" s="1070"/>
      <c r="O57" s="1070"/>
      <c r="P57" s="1070"/>
      <c r="Q57" s="1070"/>
      <c r="R57" s="1561"/>
      <c r="S57" s="1070"/>
      <c r="T57" s="1070"/>
      <c r="U57" s="469"/>
      <c r="V57" s="1070"/>
      <c r="W57" s="1070"/>
      <c r="X57" s="1070"/>
      <c r="Y57" s="1070"/>
      <c r="Z57" s="1070"/>
      <c r="AA57" s="1557"/>
      <c r="AB57" s="491"/>
      <c r="AC57" s="491"/>
      <c r="AD57" s="491"/>
      <c r="AE57" s="491"/>
    </row>
    <row r="58" spans="1:31" s="1566" customFormat="1" ht="11.25" customHeight="1">
      <c r="A58" s="903"/>
      <c r="B58" s="1561"/>
      <c r="C58" s="1561"/>
      <c r="D58" s="272"/>
      <c r="K58" s="1070"/>
      <c r="L58" s="1561"/>
      <c r="M58" s="1561"/>
      <c r="N58" s="1070"/>
      <c r="O58" s="1070"/>
      <c r="P58" s="1070"/>
      <c r="Q58" s="1070"/>
      <c r="R58" s="1561"/>
      <c r="S58" s="1070"/>
      <c r="T58" s="1070"/>
      <c r="U58" s="469"/>
      <c r="V58" s="1070"/>
      <c r="W58" s="1070"/>
      <c r="X58" s="1070"/>
      <c r="Y58" s="1070"/>
      <c r="Z58" s="1070"/>
      <c r="AA58" s="1557"/>
      <c r="AB58" s="491"/>
      <c r="AC58" s="491"/>
      <c r="AD58" s="491"/>
      <c r="AE58" s="491"/>
    </row>
    <row r="59" spans="1:31" s="1566" customFormat="1" ht="11.25" customHeight="1">
      <c r="A59" s="903"/>
      <c r="B59" s="1561"/>
      <c r="C59" s="1561"/>
      <c r="D59" s="272"/>
      <c r="K59" s="1070"/>
      <c r="L59" s="1561"/>
      <c r="M59" s="1561"/>
      <c r="N59" s="1070"/>
      <c r="O59" s="1070"/>
      <c r="P59" s="1070"/>
      <c r="Q59" s="1070"/>
      <c r="R59" s="1561"/>
      <c r="S59" s="1070"/>
      <c r="T59" s="1070"/>
      <c r="U59" s="469"/>
      <c r="V59" s="1070"/>
      <c r="W59" s="1070"/>
      <c r="X59" s="1070"/>
      <c r="Y59" s="1070"/>
      <c r="Z59" s="1070"/>
      <c r="AA59" s="1557"/>
      <c r="AB59" s="491"/>
      <c r="AC59" s="491"/>
      <c r="AD59" s="491"/>
      <c r="AE59" s="491"/>
    </row>
    <row r="60" spans="1:31" s="1566" customFormat="1" ht="11.25" customHeight="1">
      <c r="A60" s="903"/>
      <c r="B60" s="1561"/>
      <c r="C60" s="1561"/>
      <c r="D60" s="272"/>
      <c r="K60" s="1070"/>
      <c r="L60" s="1561"/>
      <c r="M60" s="1561"/>
      <c r="N60" s="1070"/>
      <c r="O60" s="1070"/>
      <c r="P60" s="1070"/>
      <c r="Q60" s="1070"/>
      <c r="R60" s="1561"/>
      <c r="S60" s="1070"/>
      <c r="T60" s="1070"/>
      <c r="U60" s="469"/>
      <c r="V60" s="1070"/>
      <c r="W60" s="1070"/>
      <c r="X60" s="1070"/>
      <c r="Y60" s="1070"/>
      <c r="Z60" s="1070"/>
      <c r="AA60" s="1557"/>
      <c r="AB60" s="491"/>
      <c r="AC60" s="491"/>
      <c r="AD60" s="491"/>
      <c r="AE60" s="491"/>
    </row>
    <row r="61" spans="1:31" s="1566" customFormat="1" ht="11.25" customHeight="1">
      <c r="A61" s="903"/>
      <c r="B61" s="1561"/>
      <c r="C61" s="1561"/>
      <c r="D61" s="272"/>
      <c r="K61" s="1070"/>
      <c r="L61" s="1561"/>
      <c r="M61" s="1561"/>
      <c r="N61" s="1070"/>
      <c r="O61" s="1070"/>
      <c r="P61" s="1070"/>
      <c r="Q61" s="1070"/>
      <c r="R61" s="1561"/>
      <c r="S61" s="1070"/>
      <c r="T61" s="1070"/>
      <c r="U61" s="469"/>
      <c r="V61" s="1070"/>
      <c r="W61" s="1070"/>
      <c r="X61" s="1070"/>
      <c r="Y61" s="1070"/>
      <c r="Z61" s="1070"/>
      <c r="AA61" s="1557"/>
      <c r="AB61" s="491"/>
      <c r="AC61" s="491"/>
      <c r="AD61" s="491"/>
      <c r="AE61" s="491"/>
    </row>
    <row r="62" spans="1:31" s="1566" customFormat="1" ht="11.25" customHeight="1">
      <c r="A62" s="903"/>
      <c r="B62" s="1561"/>
      <c r="C62" s="1561"/>
      <c r="D62" s="272"/>
      <c r="K62" s="1070"/>
      <c r="L62" s="1561"/>
      <c r="M62" s="1561"/>
      <c r="N62" s="1070"/>
      <c r="O62" s="1070"/>
      <c r="P62" s="1070"/>
      <c r="Q62" s="1070"/>
      <c r="R62" s="1561"/>
      <c r="S62" s="1070"/>
      <c r="T62" s="1070"/>
      <c r="U62" s="469"/>
      <c r="V62" s="1070"/>
      <c r="W62" s="1070"/>
      <c r="X62" s="1070"/>
      <c r="Y62" s="1070"/>
      <c r="Z62" s="1070"/>
      <c r="AA62" s="1557"/>
      <c r="AB62" s="491"/>
      <c r="AC62" s="491"/>
      <c r="AD62" s="491"/>
      <c r="AE62" s="491"/>
    </row>
    <row r="63" spans="1:31" s="1566" customFormat="1" ht="11.25" customHeight="1">
      <c r="A63" s="903"/>
      <c r="B63" s="1561"/>
      <c r="C63" s="1561"/>
      <c r="D63" s="272"/>
      <c r="K63" s="1070"/>
      <c r="L63" s="1561"/>
      <c r="M63" s="1561"/>
      <c r="N63" s="1070"/>
      <c r="O63" s="1070"/>
      <c r="P63" s="1070"/>
      <c r="Q63" s="1070"/>
      <c r="R63" s="1561"/>
      <c r="S63" s="1070"/>
      <c r="T63" s="1070"/>
      <c r="U63" s="469"/>
      <c r="V63" s="1070"/>
      <c r="W63" s="1070"/>
      <c r="X63" s="1070"/>
      <c r="Y63" s="1070"/>
      <c r="Z63" s="1070"/>
      <c r="AA63" s="1557"/>
      <c r="AB63" s="491"/>
      <c r="AC63" s="491"/>
      <c r="AD63" s="491"/>
      <c r="AE63" s="491"/>
    </row>
    <row r="64" spans="1:31" s="1566" customFormat="1" ht="11.25" customHeight="1">
      <c r="A64" s="903"/>
      <c r="B64" s="1561"/>
      <c r="C64" s="1561"/>
      <c r="D64" s="272"/>
      <c r="K64" s="1070"/>
      <c r="L64" s="1561"/>
      <c r="M64" s="1561"/>
      <c r="N64" s="1070"/>
      <c r="O64" s="1070"/>
      <c r="P64" s="1070"/>
      <c r="Q64" s="1070"/>
      <c r="R64" s="1561"/>
      <c r="S64" s="1070"/>
      <c r="T64" s="1070"/>
      <c r="U64" s="469"/>
      <c r="V64" s="1070"/>
      <c r="W64" s="1070"/>
      <c r="X64" s="1070"/>
      <c r="Y64" s="1070"/>
      <c r="Z64" s="1070"/>
      <c r="AA64" s="1557"/>
      <c r="AB64" s="491"/>
      <c r="AC64" s="491"/>
      <c r="AD64" s="491"/>
      <c r="AE64" s="491"/>
    </row>
    <row r="65" spans="1:31" s="1566" customFormat="1" ht="11.25" customHeight="1">
      <c r="A65" s="903"/>
      <c r="B65" s="1561"/>
      <c r="C65" s="1561"/>
      <c r="D65" s="272"/>
      <c r="K65" s="1070"/>
      <c r="L65" s="1561"/>
      <c r="M65" s="1561"/>
      <c r="N65" s="1070"/>
      <c r="O65" s="1070"/>
      <c r="P65" s="1070"/>
      <c r="Q65" s="1070"/>
      <c r="R65" s="1561"/>
      <c r="S65" s="1070"/>
      <c r="T65" s="1070"/>
      <c r="U65" s="469"/>
      <c r="V65" s="1070"/>
      <c r="W65" s="1070"/>
      <c r="X65" s="1070"/>
      <c r="Y65" s="1070"/>
      <c r="Z65" s="1070"/>
      <c r="AA65" s="1557"/>
      <c r="AB65" s="491"/>
      <c r="AC65" s="491"/>
      <c r="AD65" s="491"/>
      <c r="AE65" s="491"/>
    </row>
    <row r="66" spans="1:31" s="1566" customFormat="1" ht="11.25" customHeight="1">
      <c r="A66" s="903"/>
      <c r="B66" s="1561"/>
      <c r="C66" s="1561"/>
      <c r="D66" s="272"/>
      <c r="K66" s="1070"/>
      <c r="L66" s="1561"/>
      <c r="M66" s="1561"/>
      <c r="N66" s="1070"/>
      <c r="O66" s="1070"/>
      <c r="P66" s="1070"/>
      <c r="Q66" s="1070"/>
      <c r="R66" s="1561"/>
      <c r="S66" s="1070"/>
      <c r="T66" s="1070"/>
      <c r="U66" s="469"/>
      <c r="V66" s="1070"/>
      <c r="W66" s="1070"/>
      <c r="X66" s="1070"/>
      <c r="Y66" s="1070"/>
      <c r="Z66" s="1070"/>
      <c r="AA66" s="1557"/>
      <c r="AB66" s="491"/>
      <c r="AC66" s="491"/>
      <c r="AD66" s="491"/>
      <c r="AE66" s="491"/>
    </row>
    <row r="67" spans="1:31" s="1566" customFormat="1" ht="11.25" customHeight="1">
      <c r="A67" s="903"/>
      <c r="B67" s="1561"/>
      <c r="C67" s="1561"/>
      <c r="D67" s="272"/>
      <c r="K67" s="1070"/>
      <c r="L67" s="1561"/>
      <c r="M67" s="1561"/>
      <c r="N67" s="1070"/>
      <c r="O67" s="1070"/>
      <c r="P67" s="1070"/>
      <c r="Q67" s="1070"/>
      <c r="R67" s="1561"/>
      <c r="S67" s="1070"/>
      <c r="T67" s="1070"/>
      <c r="U67" s="469"/>
      <c r="V67" s="1070"/>
      <c r="W67" s="1070"/>
      <c r="X67" s="1070"/>
      <c r="Y67" s="1070"/>
      <c r="Z67" s="1070"/>
      <c r="AA67" s="1557"/>
      <c r="AB67" s="491"/>
      <c r="AC67" s="491"/>
      <c r="AD67" s="491"/>
      <c r="AE67" s="491"/>
    </row>
    <row r="68" spans="1:31" s="1566" customFormat="1" ht="11.25" customHeight="1">
      <c r="A68" s="903"/>
      <c r="B68" s="1561"/>
      <c r="C68" s="1561"/>
      <c r="D68" s="272"/>
      <c r="K68" s="1070"/>
      <c r="L68" s="1561"/>
      <c r="M68" s="1561"/>
      <c r="N68" s="1070"/>
      <c r="O68" s="1070"/>
      <c r="P68" s="1070"/>
      <c r="Q68" s="1070"/>
      <c r="R68" s="1561"/>
      <c r="S68" s="1070"/>
      <c r="T68" s="1070"/>
      <c r="U68" s="469"/>
      <c r="V68" s="1070"/>
      <c r="W68" s="1070"/>
      <c r="X68" s="1070"/>
      <c r="Y68" s="1070"/>
      <c r="Z68" s="1070"/>
      <c r="AA68" s="1557"/>
      <c r="AB68" s="491"/>
      <c r="AC68" s="491"/>
      <c r="AD68" s="491"/>
      <c r="AE68" s="491"/>
    </row>
    <row r="69" spans="1:31" s="1566" customFormat="1" ht="11.25" customHeight="1">
      <c r="A69" s="903"/>
      <c r="B69" s="1561"/>
      <c r="C69" s="1561"/>
      <c r="D69" s="272"/>
      <c r="K69" s="1070"/>
      <c r="L69" s="1561"/>
      <c r="M69" s="1561"/>
      <c r="N69" s="1070"/>
      <c r="O69" s="1070"/>
      <c r="P69" s="1070"/>
      <c r="Q69" s="1070"/>
      <c r="R69" s="1561"/>
      <c r="S69" s="1070"/>
      <c r="T69" s="1070"/>
      <c r="U69" s="469"/>
      <c r="V69" s="1070"/>
      <c r="W69" s="1070"/>
      <c r="X69" s="1070"/>
      <c r="Y69" s="1070"/>
      <c r="Z69" s="1070"/>
      <c r="AA69" s="1557"/>
      <c r="AB69" s="491"/>
      <c r="AC69" s="491"/>
      <c r="AD69" s="491"/>
      <c r="AE69" s="491"/>
    </row>
    <row r="70" spans="1:31" s="1566" customFormat="1" ht="11.25" customHeight="1">
      <c r="A70" s="903"/>
      <c r="B70" s="1561"/>
      <c r="C70" s="1561"/>
      <c r="D70" s="272"/>
      <c r="K70" s="1070"/>
      <c r="L70" s="1561"/>
      <c r="M70" s="1561"/>
      <c r="N70" s="1070"/>
      <c r="O70" s="1070"/>
      <c r="P70" s="1070"/>
      <c r="Q70" s="1070"/>
      <c r="R70" s="1561"/>
      <c r="S70" s="1070"/>
      <c r="T70" s="1070"/>
      <c r="U70" s="469"/>
      <c r="V70" s="1070"/>
      <c r="W70" s="1070"/>
      <c r="X70" s="1070"/>
      <c r="Y70" s="1070"/>
      <c r="Z70" s="1070"/>
      <c r="AA70" s="1557"/>
      <c r="AB70" s="491"/>
      <c r="AC70" s="491"/>
      <c r="AD70" s="491"/>
      <c r="AE70" s="491"/>
    </row>
    <row r="71" spans="1:31" s="1566" customFormat="1" ht="11.25" customHeight="1">
      <c r="A71" s="903"/>
      <c r="B71" s="1561"/>
      <c r="C71" s="1561"/>
      <c r="D71" s="272"/>
      <c r="K71" s="1070"/>
      <c r="L71" s="1561"/>
      <c r="M71" s="1561"/>
      <c r="N71" s="1070"/>
      <c r="O71" s="1070"/>
      <c r="P71" s="1070"/>
      <c r="Q71" s="1070"/>
      <c r="R71" s="1561"/>
      <c r="S71" s="1070"/>
      <c r="T71" s="1070"/>
      <c r="U71" s="469"/>
      <c r="V71" s="1070"/>
      <c r="W71" s="1070"/>
      <c r="X71" s="1070"/>
      <c r="Y71" s="1070"/>
      <c r="Z71" s="1070"/>
      <c r="AA71" s="1557"/>
      <c r="AB71" s="491"/>
      <c r="AC71" s="491"/>
      <c r="AD71" s="491"/>
      <c r="AE71" s="491"/>
    </row>
    <row r="72" spans="1:31" s="1566" customFormat="1" ht="11.25" customHeight="1">
      <c r="A72" s="903"/>
      <c r="B72" s="1561"/>
      <c r="C72" s="1561"/>
      <c r="D72" s="272"/>
      <c r="K72" s="1070"/>
      <c r="L72" s="1561"/>
      <c r="M72" s="1561"/>
      <c r="N72" s="1070"/>
      <c r="O72" s="1070"/>
      <c r="P72" s="1070"/>
      <c r="Q72" s="1070"/>
      <c r="R72" s="1561"/>
      <c r="S72" s="1070"/>
      <c r="T72" s="1070"/>
      <c r="U72" s="469"/>
      <c r="V72" s="1070"/>
      <c r="W72" s="1070"/>
      <c r="X72" s="1070"/>
      <c r="Y72" s="1070"/>
      <c r="Z72" s="1070"/>
      <c r="AA72" s="1557"/>
      <c r="AB72" s="491"/>
      <c r="AC72" s="491"/>
      <c r="AD72" s="491"/>
      <c r="AE72" s="491"/>
    </row>
    <row r="73" spans="1:31" s="1566" customFormat="1" ht="11.25" customHeight="1">
      <c r="A73" s="903"/>
      <c r="B73" s="1561"/>
      <c r="C73" s="1561"/>
      <c r="D73" s="272"/>
      <c r="K73" s="1070"/>
      <c r="L73" s="1561"/>
      <c r="M73" s="1561"/>
      <c r="N73" s="1070"/>
      <c r="O73" s="1070"/>
      <c r="P73" s="1070"/>
      <c r="Q73" s="1070"/>
      <c r="R73" s="1561"/>
      <c r="S73" s="1070"/>
      <c r="T73" s="1070"/>
      <c r="U73" s="469"/>
      <c r="V73" s="1070"/>
      <c r="W73" s="1070"/>
      <c r="X73" s="1070"/>
      <c r="Y73" s="1070"/>
      <c r="Z73" s="1070"/>
      <c r="AA73" s="1557"/>
      <c r="AB73" s="491"/>
      <c r="AC73" s="491"/>
      <c r="AD73" s="491"/>
      <c r="AE73" s="491"/>
    </row>
    <row r="74" spans="1:31" s="1566" customFormat="1" ht="11.25" customHeight="1">
      <c r="A74" s="903"/>
      <c r="B74" s="1561"/>
      <c r="C74" s="1561"/>
      <c r="D74" s="272"/>
      <c r="K74" s="1070"/>
      <c r="L74" s="1561"/>
      <c r="M74" s="1561"/>
      <c r="N74" s="1070"/>
      <c r="O74" s="1070"/>
      <c r="P74" s="1070"/>
      <c r="Q74" s="1070"/>
      <c r="R74" s="1561"/>
      <c r="S74" s="1070"/>
      <c r="T74" s="1070"/>
      <c r="U74" s="469"/>
      <c r="V74" s="1070"/>
      <c r="W74" s="1070"/>
      <c r="X74" s="1070"/>
      <c r="Y74" s="1070"/>
      <c r="Z74" s="1070"/>
      <c r="AA74" s="1557"/>
      <c r="AB74" s="491"/>
      <c r="AC74" s="491"/>
      <c r="AD74" s="491"/>
      <c r="AE74" s="491"/>
    </row>
    <row r="75" spans="1:31" s="1566" customFormat="1" ht="11.25" customHeight="1">
      <c r="A75" s="903"/>
      <c r="B75" s="1561"/>
      <c r="C75" s="1561"/>
      <c r="D75" s="272"/>
      <c r="K75" s="1070"/>
      <c r="L75" s="1561"/>
      <c r="M75" s="1561"/>
      <c r="N75" s="1070"/>
      <c r="O75" s="1070"/>
      <c r="P75" s="1070"/>
      <c r="Q75" s="1070"/>
      <c r="R75" s="1561"/>
      <c r="S75" s="1070"/>
      <c r="T75" s="1070"/>
      <c r="U75" s="469"/>
      <c r="V75" s="1070"/>
      <c r="W75" s="1070"/>
      <c r="X75" s="1070"/>
      <c r="Y75" s="1070"/>
      <c r="Z75" s="1070"/>
      <c r="AA75" s="1557"/>
      <c r="AB75" s="491"/>
      <c r="AC75" s="491"/>
      <c r="AD75" s="491"/>
      <c r="AE75" s="491"/>
    </row>
    <row r="76" spans="1:31" s="1566" customFormat="1" ht="11.25" customHeight="1">
      <c r="A76" s="903"/>
      <c r="B76" s="1561"/>
      <c r="C76" s="1561"/>
      <c r="D76" s="272"/>
      <c r="K76" s="1070"/>
      <c r="L76" s="1561"/>
      <c r="M76" s="1561"/>
      <c r="N76" s="1070"/>
      <c r="O76" s="1070"/>
      <c r="P76" s="1070"/>
      <c r="Q76" s="1070"/>
      <c r="R76" s="1561"/>
      <c r="S76" s="1070"/>
      <c r="T76" s="1070"/>
      <c r="U76" s="469"/>
      <c r="V76" s="1070"/>
      <c r="W76" s="1070"/>
      <c r="X76" s="1070"/>
      <c r="Y76" s="1070"/>
      <c r="Z76" s="1070"/>
      <c r="AA76" s="1557"/>
      <c r="AB76" s="491"/>
      <c r="AC76" s="491"/>
      <c r="AD76" s="491"/>
      <c r="AE76" s="491"/>
    </row>
    <row r="77" spans="1:31" s="1566" customFormat="1" ht="11.25" customHeight="1">
      <c r="A77" s="903"/>
      <c r="B77" s="1561"/>
      <c r="C77" s="1561"/>
      <c r="D77" s="272"/>
      <c r="K77" s="1070"/>
      <c r="L77" s="1561"/>
      <c r="M77" s="1561"/>
      <c r="N77" s="1070"/>
      <c r="O77" s="1070"/>
      <c r="P77" s="1070"/>
      <c r="Q77" s="1070"/>
      <c r="R77" s="1561"/>
      <c r="S77" s="1070"/>
      <c r="T77" s="1070"/>
      <c r="U77" s="469"/>
      <c r="V77" s="1070"/>
      <c r="W77" s="1070"/>
      <c r="X77" s="1070"/>
      <c r="Y77" s="1070"/>
      <c r="Z77" s="1070"/>
      <c r="AA77" s="1557"/>
      <c r="AB77" s="491"/>
      <c r="AC77" s="491"/>
      <c r="AD77" s="491"/>
      <c r="AE77" s="491"/>
    </row>
    <row r="78" spans="1:31" s="1566" customFormat="1" ht="11.25" customHeight="1">
      <c r="A78" s="903"/>
      <c r="B78" s="1561"/>
      <c r="C78" s="1561"/>
      <c r="D78" s="272"/>
      <c r="K78" s="1070"/>
      <c r="L78" s="1561"/>
      <c r="M78" s="1561"/>
      <c r="N78" s="1070"/>
      <c r="O78" s="1070"/>
      <c r="P78" s="1070"/>
      <c r="Q78" s="1070"/>
      <c r="R78" s="1561"/>
      <c r="S78" s="1070"/>
      <c r="T78" s="1070"/>
      <c r="U78" s="469"/>
      <c r="V78" s="1070"/>
      <c r="W78" s="1070"/>
      <c r="X78" s="1070"/>
      <c r="Y78" s="1070"/>
      <c r="Z78" s="1070"/>
      <c r="AA78" s="1557"/>
      <c r="AB78" s="491"/>
      <c r="AC78" s="491"/>
      <c r="AD78" s="491"/>
      <c r="AE78" s="491"/>
    </row>
    <row r="79" spans="1:31" s="1566" customFormat="1" ht="11.25" customHeight="1">
      <c r="A79" s="903"/>
      <c r="B79" s="1561"/>
      <c r="C79" s="1561"/>
      <c r="D79" s="272"/>
      <c r="K79" s="1070"/>
      <c r="L79" s="1561"/>
      <c r="M79" s="1561"/>
      <c r="N79" s="1070"/>
      <c r="O79" s="1070"/>
      <c r="P79" s="1070"/>
      <c r="Q79" s="1070"/>
      <c r="R79" s="1561"/>
      <c r="S79" s="1070"/>
      <c r="T79" s="1070"/>
      <c r="U79" s="469"/>
      <c r="V79" s="1070"/>
      <c r="W79" s="1070"/>
      <c r="X79" s="1070"/>
      <c r="Y79" s="1070"/>
      <c r="Z79" s="1070"/>
      <c r="AA79" s="1557"/>
      <c r="AB79" s="491"/>
      <c r="AC79" s="491"/>
      <c r="AD79" s="491"/>
      <c r="AE79" s="491"/>
    </row>
    <row r="80" spans="1:31" s="1566" customFormat="1" ht="11.25" customHeight="1">
      <c r="A80" s="903"/>
      <c r="B80" s="1561"/>
      <c r="C80" s="1561"/>
      <c r="D80" s="272"/>
      <c r="K80" s="1070"/>
      <c r="L80" s="1561"/>
      <c r="M80" s="1561"/>
      <c r="N80" s="1070"/>
      <c r="O80" s="1070"/>
      <c r="P80" s="1070"/>
      <c r="Q80" s="1070"/>
      <c r="R80" s="1561"/>
      <c r="S80" s="1070"/>
      <c r="T80" s="1070"/>
      <c r="U80" s="469"/>
      <c r="V80" s="1070"/>
      <c r="W80" s="1070"/>
      <c r="X80" s="1070"/>
      <c r="Y80" s="1070"/>
      <c r="Z80" s="1070"/>
      <c r="AA80" s="1557"/>
      <c r="AB80" s="491"/>
      <c r="AC80" s="491"/>
      <c r="AD80" s="491"/>
      <c r="AE80" s="491"/>
    </row>
    <row r="81" spans="1:31" s="1566" customFormat="1" ht="11.25" customHeight="1">
      <c r="A81" s="903"/>
      <c r="B81" s="1561"/>
      <c r="C81" s="1561"/>
      <c r="D81" s="272"/>
      <c r="K81" s="1070"/>
      <c r="L81" s="1561"/>
      <c r="M81" s="1561"/>
      <c r="N81" s="1070"/>
      <c r="O81" s="1070"/>
      <c r="P81" s="1070"/>
      <c r="Q81" s="1070"/>
      <c r="R81" s="1561"/>
      <c r="S81" s="1070"/>
      <c r="T81" s="1070"/>
      <c r="U81" s="469"/>
      <c r="V81" s="1070"/>
      <c r="W81" s="1070"/>
      <c r="X81" s="1070"/>
      <c r="Y81" s="1070"/>
      <c r="Z81" s="1070"/>
      <c r="AA81" s="1557"/>
      <c r="AB81" s="491"/>
      <c r="AC81" s="491"/>
      <c r="AD81" s="491"/>
      <c r="AE81" s="491"/>
    </row>
    <row r="82" spans="1:31" s="1566" customFormat="1" ht="11.25" customHeight="1">
      <c r="A82" s="903"/>
      <c r="B82" s="1561"/>
      <c r="C82" s="1561"/>
      <c r="D82" s="272"/>
      <c r="K82" s="1070"/>
      <c r="L82" s="1561"/>
      <c r="M82" s="1561"/>
      <c r="N82" s="1070"/>
      <c r="O82" s="1070"/>
      <c r="P82" s="1070"/>
      <c r="Q82" s="1070"/>
      <c r="R82" s="1561"/>
      <c r="S82" s="1070"/>
      <c r="T82" s="1070"/>
      <c r="U82" s="469"/>
      <c r="V82" s="1070"/>
      <c r="W82" s="1070"/>
      <c r="X82" s="1070"/>
      <c r="Y82" s="1070"/>
      <c r="Z82" s="1070"/>
      <c r="AA82" s="1557"/>
      <c r="AB82" s="491"/>
      <c r="AC82" s="491"/>
      <c r="AD82" s="491"/>
      <c r="AE82" s="491"/>
    </row>
    <row r="83" spans="1:31" s="1566" customFormat="1" ht="11.25" customHeight="1">
      <c r="A83" s="903"/>
      <c r="B83" s="1561"/>
      <c r="C83" s="1561"/>
      <c r="D83" s="272"/>
      <c r="K83" s="1070"/>
      <c r="L83" s="1561"/>
      <c r="M83" s="1561"/>
      <c r="N83" s="1070"/>
      <c r="O83" s="1070"/>
      <c r="P83" s="1070"/>
      <c r="Q83" s="1070"/>
      <c r="R83" s="1561"/>
      <c r="S83" s="1070"/>
      <c r="T83" s="1070"/>
      <c r="U83" s="469"/>
      <c r="V83" s="1070"/>
      <c r="W83" s="1070"/>
      <c r="X83" s="1070"/>
      <c r="Y83" s="1070"/>
      <c r="Z83" s="1070"/>
      <c r="AA83" s="1557"/>
      <c r="AB83" s="491"/>
      <c r="AC83" s="491"/>
      <c r="AD83" s="491"/>
      <c r="AE83" s="491"/>
    </row>
    <row r="84" spans="1:31" s="1566" customFormat="1" ht="11.25" customHeight="1">
      <c r="A84" s="903"/>
      <c r="B84" s="1561"/>
      <c r="C84" s="1561"/>
      <c r="D84" s="272"/>
      <c r="K84" s="1070"/>
      <c r="L84" s="1561"/>
      <c r="M84" s="1561"/>
      <c r="N84" s="1070"/>
      <c r="O84" s="1070"/>
      <c r="P84" s="1070"/>
      <c r="Q84" s="1070"/>
      <c r="R84" s="1561"/>
      <c r="S84" s="1070"/>
      <c r="T84" s="1070"/>
      <c r="U84" s="469"/>
      <c r="V84" s="1070"/>
      <c r="W84" s="1070"/>
      <c r="X84" s="1070"/>
      <c r="Y84" s="1070"/>
      <c r="Z84" s="1070"/>
      <c r="AA84" s="1557"/>
      <c r="AB84" s="491"/>
      <c r="AC84" s="491"/>
      <c r="AD84" s="491"/>
      <c r="AE84" s="491"/>
    </row>
    <row r="85" spans="1:31" s="1566" customFormat="1" ht="11.25" customHeight="1">
      <c r="A85" s="903"/>
      <c r="B85" s="1561"/>
      <c r="C85" s="1561"/>
      <c r="D85" s="272"/>
      <c r="K85" s="1070"/>
      <c r="L85" s="1561"/>
      <c r="M85" s="1561"/>
      <c r="N85" s="1070"/>
      <c r="O85" s="1070"/>
      <c r="P85" s="1070"/>
      <c r="Q85" s="1070"/>
      <c r="R85" s="1561"/>
      <c r="S85" s="1070"/>
      <c r="T85" s="1070"/>
      <c r="U85" s="469"/>
      <c r="V85" s="1070"/>
      <c r="W85" s="1070"/>
      <c r="X85" s="1070"/>
      <c r="Y85" s="1070"/>
      <c r="Z85" s="1070"/>
      <c r="AA85" s="1557"/>
      <c r="AB85" s="491"/>
      <c r="AC85" s="491"/>
      <c r="AD85" s="491"/>
      <c r="AE85" s="491"/>
    </row>
    <row r="86" spans="1:31" s="1566" customFormat="1" ht="11.25" customHeight="1">
      <c r="A86" s="903"/>
      <c r="B86" s="1561"/>
      <c r="C86" s="1561"/>
      <c r="D86" s="272"/>
      <c r="K86" s="1070"/>
      <c r="L86" s="1561"/>
      <c r="M86" s="1561"/>
      <c r="N86" s="1070"/>
      <c r="O86" s="1070"/>
      <c r="P86" s="1070"/>
      <c r="Q86" s="1070"/>
      <c r="R86" s="1561"/>
      <c r="S86" s="1070"/>
      <c r="T86" s="1070"/>
      <c r="U86" s="469"/>
      <c r="V86" s="1070"/>
      <c r="W86" s="1070"/>
      <c r="X86" s="1070"/>
      <c r="Y86" s="1070"/>
      <c r="Z86" s="1070"/>
      <c r="AA86" s="1557"/>
      <c r="AB86" s="491"/>
      <c r="AC86" s="491"/>
      <c r="AD86" s="491"/>
      <c r="AE86" s="491"/>
    </row>
    <row r="87" spans="1:31" s="1566" customFormat="1" ht="11.25" customHeight="1">
      <c r="A87" s="903"/>
      <c r="B87" s="1561"/>
      <c r="C87" s="1561"/>
      <c r="D87" s="272"/>
      <c r="K87" s="1070"/>
      <c r="L87" s="1561"/>
      <c r="M87" s="1561"/>
      <c r="N87" s="1070"/>
      <c r="O87" s="1070"/>
      <c r="P87" s="1070"/>
      <c r="Q87" s="1070"/>
      <c r="R87" s="1561"/>
      <c r="S87" s="1070"/>
      <c r="T87" s="1070"/>
      <c r="U87" s="469"/>
      <c r="V87" s="1070"/>
      <c r="W87" s="1070"/>
      <c r="X87" s="1070"/>
      <c r="Y87" s="1070"/>
      <c r="Z87" s="1070"/>
      <c r="AA87" s="1557"/>
      <c r="AB87" s="491"/>
      <c r="AC87" s="491"/>
      <c r="AD87" s="491"/>
      <c r="AE87" s="491"/>
    </row>
    <row r="88" spans="1:31" s="1566" customFormat="1" ht="11.25" customHeight="1">
      <c r="A88" s="903"/>
      <c r="B88" s="1561"/>
      <c r="C88" s="1561"/>
      <c r="D88" s="272"/>
      <c r="K88" s="1070"/>
      <c r="L88" s="1561"/>
      <c r="M88" s="1561"/>
      <c r="N88" s="1070"/>
      <c r="O88" s="1070"/>
      <c r="P88" s="1070"/>
      <c r="Q88" s="1070"/>
      <c r="R88" s="1561"/>
      <c r="S88" s="1070"/>
      <c r="T88" s="1070"/>
      <c r="U88" s="469"/>
      <c r="V88" s="1070"/>
      <c r="W88" s="1070"/>
      <c r="X88" s="1070"/>
      <c r="Y88" s="1070"/>
      <c r="Z88" s="1070"/>
      <c r="AA88" s="1557"/>
      <c r="AB88" s="491"/>
      <c r="AC88" s="491"/>
      <c r="AD88" s="491"/>
      <c r="AE88" s="491"/>
    </row>
    <row r="89" spans="1:31" s="1566" customFormat="1" ht="11.25" customHeight="1">
      <c r="A89" s="903"/>
      <c r="B89" s="1561"/>
      <c r="C89" s="1561"/>
      <c r="D89" s="272"/>
      <c r="K89" s="1070"/>
      <c r="L89" s="1561"/>
      <c r="M89" s="1561"/>
      <c r="N89" s="1070"/>
      <c r="O89" s="1070"/>
      <c r="P89" s="1070"/>
      <c r="Q89" s="1070"/>
      <c r="R89" s="1561"/>
      <c r="S89" s="1070"/>
      <c r="T89" s="1070"/>
      <c r="U89" s="469"/>
      <c r="V89" s="1070"/>
      <c r="W89" s="1070"/>
      <c r="X89" s="1070"/>
      <c r="Y89" s="1070"/>
      <c r="Z89" s="1070"/>
      <c r="AA89" s="1557"/>
      <c r="AB89" s="491"/>
      <c r="AC89" s="491"/>
      <c r="AD89" s="491"/>
      <c r="AE89" s="491"/>
    </row>
    <row r="90" spans="1:31" s="1566" customFormat="1" ht="11.25" customHeight="1">
      <c r="A90" s="903"/>
      <c r="B90" s="1561"/>
      <c r="C90" s="1561"/>
      <c r="D90" s="272"/>
      <c r="K90" s="1070"/>
      <c r="L90" s="1561"/>
      <c r="M90" s="1561"/>
      <c r="N90" s="1070"/>
      <c r="O90" s="1070"/>
      <c r="P90" s="1070"/>
      <c r="Q90" s="1070"/>
      <c r="R90" s="1561"/>
      <c r="S90" s="1070"/>
      <c r="T90" s="1070"/>
      <c r="U90" s="469"/>
      <c r="V90" s="1070"/>
      <c r="W90" s="1070"/>
      <c r="X90" s="1070"/>
      <c r="Y90" s="1070"/>
      <c r="Z90" s="1070"/>
      <c r="AA90" s="1557"/>
      <c r="AB90" s="491"/>
      <c r="AC90" s="491"/>
      <c r="AD90" s="491"/>
      <c r="AE90" s="491"/>
    </row>
    <row r="91" spans="1:31" s="1566" customFormat="1" ht="11.25" customHeight="1">
      <c r="A91" s="903"/>
      <c r="B91" s="1561"/>
      <c r="C91" s="1561"/>
      <c r="D91" s="272"/>
      <c r="K91" s="1070"/>
      <c r="L91" s="1561"/>
      <c r="M91" s="1561"/>
      <c r="N91" s="1070"/>
      <c r="O91" s="1070"/>
      <c r="P91" s="1070"/>
      <c r="Q91" s="1070"/>
      <c r="R91" s="1561"/>
      <c r="S91" s="1070"/>
      <c r="T91" s="1070"/>
      <c r="U91" s="469"/>
      <c r="V91" s="1070"/>
      <c r="W91" s="1070"/>
      <c r="X91" s="1070"/>
      <c r="Y91" s="1070"/>
      <c r="Z91" s="1070"/>
      <c r="AA91" s="1557"/>
      <c r="AB91" s="491"/>
      <c r="AC91" s="491"/>
      <c r="AD91" s="491"/>
      <c r="AE91" s="491"/>
    </row>
    <row r="92" spans="1:31" s="1566" customFormat="1" ht="11.25" customHeight="1">
      <c r="A92" s="903"/>
      <c r="B92" s="1561"/>
      <c r="C92" s="1561"/>
      <c r="D92" s="272"/>
      <c r="K92" s="1070"/>
      <c r="L92" s="1561"/>
      <c r="M92" s="1561"/>
      <c r="N92" s="1070"/>
      <c r="O92" s="1070"/>
      <c r="P92" s="1070"/>
      <c r="Q92" s="1070"/>
      <c r="R92" s="1561"/>
      <c r="S92" s="1070"/>
      <c r="T92" s="1070"/>
      <c r="U92" s="469"/>
      <c r="V92" s="1070"/>
      <c r="W92" s="1070"/>
      <c r="X92" s="1070"/>
      <c r="Y92" s="1070"/>
      <c r="Z92" s="1070"/>
      <c r="AA92" s="1557"/>
      <c r="AB92" s="491"/>
      <c r="AC92" s="491"/>
      <c r="AD92" s="491"/>
      <c r="AE92" s="491"/>
    </row>
    <row r="93" spans="1:31" s="1566" customFormat="1" ht="11.25" customHeight="1">
      <c r="A93" s="903"/>
      <c r="B93" s="1561"/>
      <c r="C93" s="1561"/>
      <c r="D93" s="272"/>
      <c r="K93" s="1070"/>
      <c r="L93" s="1561"/>
      <c r="M93" s="1561"/>
      <c r="N93" s="1070"/>
      <c r="O93" s="1070"/>
      <c r="P93" s="1070"/>
      <c r="Q93" s="1070"/>
      <c r="R93" s="1561"/>
      <c r="S93" s="1070"/>
      <c r="T93" s="1070"/>
      <c r="U93" s="469"/>
      <c r="V93" s="1070"/>
      <c r="W93" s="1070"/>
      <c r="X93" s="1070"/>
      <c r="Y93" s="1070"/>
      <c r="Z93" s="1070"/>
      <c r="AA93" s="1557"/>
      <c r="AB93" s="491"/>
      <c r="AC93" s="491"/>
      <c r="AD93" s="491"/>
      <c r="AE93" s="491"/>
    </row>
    <row r="94" spans="1:31" s="1566" customFormat="1" ht="11.25" customHeight="1">
      <c r="A94" s="903"/>
      <c r="B94" s="1561"/>
      <c r="C94" s="1561"/>
      <c r="D94" s="272"/>
      <c r="K94" s="1070"/>
      <c r="L94" s="1561"/>
      <c r="M94" s="1561"/>
      <c r="N94" s="1070"/>
      <c r="O94" s="1070"/>
      <c r="P94" s="1070"/>
      <c r="Q94" s="1070"/>
      <c r="R94" s="1561"/>
      <c r="S94" s="1070"/>
      <c r="T94" s="1070"/>
      <c r="U94" s="469"/>
      <c r="V94" s="1070"/>
      <c r="W94" s="1070"/>
      <c r="X94" s="1070"/>
      <c r="Y94" s="1070"/>
      <c r="Z94" s="1070"/>
      <c r="AA94" s="1557"/>
      <c r="AB94" s="491"/>
      <c r="AC94" s="491"/>
      <c r="AD94" s="491"/>
      <c r="AE94" s="491"/>
    </row>
    <row r="95" spans="1:31" s="1566" customFormat="1" ht="11.25" customHeight="1">
      <c r="A95" s="903"/>
      <c r="B95" s="1561"/>
      <c r="C95" s="1561"/>
      <c r="D95" s="272"/>
      <c r="K95" s="1070"/>
      <c r="L95" s="1561"/>
      <c r="M95" s="1561"/>
      <c r="N95" s="1070"/>
      <c r="O95" s="1070"/>
      <c r="P95" s="1070"/>
      <c r="Q95" s="1070"/>
      <c r="R95" s="1561"/>
      <c r="S95" s="1070"/>
      <c r="T95" s="1070"/>
      <c r="U95" s="469"/>
      <c r="V95" s="1070"/>
      <c r="W95" s="1070"/>
      <c r="X95" s="1070"/>
      <c r="Y95" s="1070"/>
      <c r="Z95" s="1070"/>
      <c r="AA95" s="1557"/>
      <c r="AB95" s="491"/>
      <c r="AC95" s="491"/>
      <c r="AD95" s="491"/>
      <c r="AE95" s="491"/>
    </row>
    <row r="96" spans="1:31" s="1566" customFormat="1" ht="11.25" customHeight="1">
      <c r="A96" s="903"/>
      <c r="B96" s="1561"/>
      <c r="C96" s="1561"/>
      <c r="D96" s="272"/>
      <c r="K96" s="1070"/>
      <c r="L96" s="1561"/>
      <c r="M96" s="1561"/>
      <c r="N96" s="1070"/>
      <c r="O96" s="1070"/>
      <c r="P96" s="1070"/>
      <c r="Q96" s="1070"/>
      <c r="R96" s="1561"/>
      <c r="S96" s="1070"/>
      <c r="T96" s="1070"/>
      <c r="U96" s="469"/>
      <c r="V96" s="1070"/>
      <c r="W96" s="1070"/>
      <c r="X96" s="1070"/>
      <c r="Y96" s="1070"/>
      <c r="Z96" s="1070"/>
      <c r="AA96" s="1557"/>
      <c r="AB96" s="491"/>
      <c r="AC96" s="491"/>
      <c r="AD96" s="491"/>
      <c r="AE96" s="491"/>
    </row>
    <row r="97" spans="1:31" s="1566" customFormat="1" ht="11.25" customHeight="1">
      <c r="A97" s="903"/>
      <c r="B97" s="1561"/>
      <c r="C97" s="1561"/>
      <c r="D97" s="272"/>
      <c r="K97" s="1070"/>
      <c r="L97" s="1561"/>
      <c r="M97" s="1561"/>
      <c r="N97" s="1070"/>
      <c r="O97" s="1070"/>
      <c r="P97" s="1070"/>
      <c r="Q97" s="1070"/>
      <c r="R97" s="1561"/>
      <c r="S97" s="1070"/>
      <c r="T97" s="1070"/>
      <c r="U97" s="469"/>
      <c r="V97" s="1070"/>
      <c r="W97" s="1070"/>
      <c r="X97" s="1070"/>
      <c r="Y97" s="1070"/>
      <c r="Z97" s="1070"/>
      <c r="AA97" s="1557"/>
      <c r="AB97" s="491"/>
      <c r="AC97" s="491"/>
      <c r="AD97" s="491"/>
      <c r="AE97" s="491"/>
    </row>
    <row r="98" spans="1:31" s="1566" customFormat="1" ht="11.25" customHeight="1">
      <c r="A98" s="903"/>
      <c r="B98" s="1561"/>
      <c r="C98" s="1561"/>
      <c r="D98" s="272"/>
      <c r="K98" s="1070"/>
      <c r="L98" s="1561"/>
      <c r="M98" s="1561"/>
      <c r="N98" s="1070"/>
      <c r="O98" s="1070"/>
      <c r="P98" s="1070"/>
      <c r="Q98" s="1070"/>
      <c r="R98" s="1561"/>
      <c r="S98" s="1070"/>
      <c r="T98" s="1070"/>
      <c r="U98" s="469"/>
      <c r="V98" s="1070"/>
      <c r="W98" s="1070"/>
      <c r="X98" s="1070"/>
      <c r="Y98" s="1070"/>
      <c r="Z98" s="1070"/>
      <c r="AA98" s="1557"/>
      <c r="AB98" s="491"/>
      <c r="AC98" s="491"/>
      <c r="AD98" s="491"/>
      <c r="AE98" s="491"/>
    </row>
    <row r="99" spans="1:31" s="1566" customFormat="1" ht="11.25" customHeight="1">
      <c r="A99" s="903"/>
      <c r="B99" s="1561"/>
      <c r="C99" s="1561"/>
      <c r="D99" s="272"/>
      <c r="K99" s="1070"/>
      <c r="L99" s="1561"/>
      <c r="M99" s="1561"/>
      <c r="N99" s="1070"/>
      <c r="O99" s="1070"/>
      <c r="P99" s="1070"/>
      <c r="Q99" s="1070"/>
      <c r="R99" s="1561"/>
      <c r="S99" s="1070"/>
      <c r="T99" s="1070"/>
      <c r="U99" s="469"/>
      <c r="V99" s="1070"/>
      <c r="W99" s="1070"/>
      <c r="X99" s="1070"/>
      <c r="Y99" s="1070"/>
      <c r="Z99" s="1070"/>
      <c r="AA99" s="1557"/>
      <c r="AB99" s="491"/>
      <c r="AC99" s="491"/>
      <c r="AD99" s="491"/>
      <c r="AE99" s="491"/>
    </row>
    <row r="100" spans="1:31" s="1566" customFormat="1" ht="11.25" customHeight="1">
      <c r="A100" s="903"/>
      <c r="B100" s="1561"/>
      <c r="C100" s="1561"/>
      <c r="D100" s="272"/>
      <c r="K100" s="1070"/>
      <c r="L100" s="1561"/>
      <c r="M100" s="1561"/>
      <c r="N100" s="1070"/>
      <c r="O100" s="1070"/>
      <c r="P100" s="1070"/>
      <c r="Q100" s="1070"/>
      <c r="R100" s="1561"/>
      <c r="S100" s="1070"/>
      <c r="T100" s="1070"/>
      <c r="U100" s="469"/>
      <c r="V100" s="1070"/>
      <c r="W100" s="1070"/>
      <c r="X100" s="1070"/>
      <c r="Y100" s="1070"/>
      <c r="Z100" s="1070"/>
      <c r="AA100" s="1557"/>
      <c r="AB100" s="491"/>
      <c r="AC100" s="491"/>
      <c r="AD100" s="491"/>
      <c r="AE100" s="491"/>
    </row>
    <row r="101" spans="1:31" s="1566" customFormat="1" ht="11.25" customHeight="1">
      <c r="A101" s="903"/>
      <c r="B101" s="1561"/>
      <c r="C101" s="1561"/>
      <c r="D101" s="272"/>
      <c r="K101" s="1070"/>
      <c r="L101" s="1561"/>
      <c r="M101" s="1561"/>
      <c r="N101" s="1070"/>
      <c r="O101" s="1070"/>
      <c r="P101" s="1070"/>
      <c r="Q101" s="1070"/>
      <c r="R101" s="1561"/>
      <c r="S101" s="1070"/>
      <c r="T101" s="1070"/>
      <c r="U101" s="469"/>
      <c r="V101" s="1070"/>
      <c r="W101" s="1070"/>
      <c r="X101" s="1070"/>
      <c r="Y101" s="1070"/>
      <c r="Z101" s="1070"/>
      <c r="AA101" s="1557"/>
      <c r="AB101" s="491"/>
      <c r="AC101" s="491"/>
      <c r="AD101" s="491"/>
      <c r="AE101" s="491"/>
    </row>
    <row r="102" spans="1:31" s="1566" customFormat="1" ht="11.25" customHeight="1">
      <c r="A102" s="903"/>
      <c r="B102" s="1561"/>
      <c r="C102" s="1561"/>
      <c r="D102" s="272"/>
      <c r="K102" s="1070"/>
      <c r="L102" s="1561"/>
      <c r="M102" s="1561"/>
      <c r="N102" s="1070"/>
      <c r="O102" s="1070"/>
      <c r="P102" s="1070"/>
      <c r="Q102" s="1070"/>
      <c r="R102" s="1561"/>
      <c r="S102" s="1070"/>
      <c r="T102" s="1070"/>
      <c r="U102" s="469"/>
      <c r="V102" s="1070"/>
      <c r="W102" s="1070"/>
      <c r="X102" s="1070"/>
      <c r="Y102" s="1070"/>
      <c r="Z102" s="1070"/>
      <c r="AA102" s="1557"/>
      <c r="AB102" s="491"/>
      <c r="AC102" s="491"/>
      <c r="AD102" s="491"/>
      <c r="AE102" s="491"/>
    </row>
    <row r="103" spans="1:31" s="1566" customFormat="1" ht="11.25" customHeight="1">
      <c r="A103" s="903"/>
      <c r="B103" s="1561"/>
      <c r="C103" s="1561"/>
      <c r="D103" s="272"/>
      <c r="K103" s="1070"/>
      <c r="L103" s="1561"/>
      <c r="M103" s="1561"/>
      <c r="N103" s="1070"/>
      <c r="O103" s="1070"/>
      <c r="P103" s="1070"/>
      <c r="Q103" s="1070"/>
      <c r="R103" s="1561"/>
      <c r="S103" s="1070"/>
      <c r="T103" s="1070"/>
      <c r="U103" s="469"/>
      <c r="V103" s="1070"/>
      <c r="W103" s="1070"/>
      <c r="X103" s="1070"/>
      <c r="Y103" s="1070"/>
      <c r="Z103" s="1070"/>
      <c r="AA103" s="1557"/>
      <c r="AB103" s="491"/>
      <c r="AC103" s="491"/>
      <c r="AD103" s="491"/>
      <c r="AE103" s="491"/>
    </row>
    <row r="104" spans="1:31" s="1566" customFormat="1" ht="11.25" customHeight="1">
      <c r="A104" s="903"/>
      <c r="B104" s="1561"/>
      <c r="C104" s="1561"/>
      <c r="D104" s="272"/>
      <c r="K104" s="1070"/>
      <c r="L104" s="1561"/>
      <c r="M104" s="1561"/>
      <c r="N104" s="1070"/>
      <c r="O104" s="1070"/>
      <c r="P104" s="1070"/>
      <c r="Q104" s="1070"/>
      <c r="R104" s="1561"/>
      <c r="S104" s="1070"/>
      <c r="T104" s="1070"/>
      <c r="U104" s="469"/>
      <c r="V104" s="1070"/>
      <c r="W104" s="1070"/>
      <c r="X104" s="1070"/>
      <c r="Y104" s="1070"/>
      <c r="Z104" s="1070"/>
      <c r="AA104" s="1557"/>
      <c r="AB104" s="491"/>
      <c r="AC104" s="491"/>
      <c r="AD104" s="491"/>
      <c r="AE104" s="491"/>
    </row>
    <row r="105" spans="1:31" s="1566" customFormat="1" ht="11.25" customHeight="1">
      <c r="A105" s="903"/>
      <c r="B105" s="1561"/>
      <c r="C105" s="1561"/>
      <c r="D105" s="272"/>
      <c r="K105" s="1070"/>
      <c r="L105" s="1561"/>
      <c r="M105" s="1561"/>
      <c r="N105" s="1070"/>
      <c r="O105" s="1070"/>
      <c r="P105" s="1070"/>
      <c r="Q105" s="1070"/>
      <c r="R105" s="1561"/>
      <c r="S105" s="1070"/>
      <c r="T105" s="1070"/>
      <c r="U105" s="469"/>
      <c r="V105" s="1070"/>
      <c r="W105" s="1070"/>
      <c r="X105" s="1070"/>
      <c r="Y105" s="1070"/>
      <c r="Z105" s="1070"/>
      <c r="AA105" s="1557"/>
      <c r="AB105" s="491"/>
      <c r="AC105" s="491"/>
      <c r="AD105" s="491"/>
      <c r="AE105" s="491"/>
    </row>
    <row r="106" spans="1:31" s="1566" customFormat="1" ht="11.25" customHeight="1">
      <c r="A106" s="903"/>
      <c r="B106" s="1561"/>
      <c r="C106" s="1561"/>
      <c r="D106" s="272"/>
      <c r="K106" s="1070"/>
      <c r="L106" s="1561"/>
      <c r="M106" s="1561"/>
      <c r="N106" s="1070"/>
      <c r="O106" s="1070"/>
      <c r="P106" s="1070"/>
      <c r="Q106" s="1070"/>
      <c r="R106" s="1561"/>
      <c r="S106" s="1070"/>
      <c r="T106" s="1070"/>
      <c r="U106" s="469"/>
      <c r="V106" s="1070"/>
      <c r="W106" s="1070"/>
      <c r="X106" s="1070"/>
      <c r="Y106" s="1070"/>
      <c r="Z106" s="1070"/>
      <c r="AA106" s="1557"/>
      <c r="AB106" s="491"/>
      <c r="AC106" s="491"/>
      <c r="AD106" s="491"/>
      <c r="AE106" s="491"/>
    </row>
    <row r="107" spans="1:31" s="1566" customFormat="1" ht="11.25" customHeight="1">
      <c r="A107" s="903"/>
      <c r="B107" s="1561"/>
      <c r="C107" s="1561"/>
      <c r="D107" s="272"/>
      <c r="K107" s="1070"/>
      <c r="L107" s="1561"/>
      <c r="M107" s="1561"/>
      <c r="N107" s="1070"/>
      <c r="O107" s="1070"/>
      <c r="P107" s="1070"/>
      <c r="Q107" s="1070"/>
      <c r="R107" s="1561"/>
      <c r="S107" s="1070"/>
      <c r="T107" s="1070"/>
      <c r="U107" s="469"/>
      <c r="V107" s="1070"/>
      <c r="W107" s="1070"/>
      <c r="X107" s="1070"/>
      <c r="Y107" s="1070"/>
      <c r="Z107" s="1070"/>
      <c r="AA107" s="1557"/>
      <c r="AB107" s="491"/>
      <c r="AC107" s="491"/>
      <c r="AD107" s="491"/>
      <c r="AE107" s="491"/>
    </row>
    <row r="108" spans="1:31" s="1566" customFormat="1" ht="11.25" customHeight="1">
      <c r="A108" s="903"/>
      <c r="B108" s="1561"/>
      <c r="C108" s="1561"/>
      <c r="D108" s="272"/>
      <c r="K108" s="1070"/>
      <c r="L108" s="1561"/>
      <c r="M108" s="1561"/>
      <c r="N108" s="1070"/>
      <c r="O108" s="1070"/>
      <c r="P108" s="1070"/>
      <c r="Q108" s="1070"/>
      <c r="R108" s="1561"/>
      <c r="S108" s="1070"/>
      <c r="T108" s="1070"/>
      <c r="U108" s="469"/>
      <c r="V108" s="1070"/>
      <c r="W108" s="1070"/>
      <c r="X108" s="1070"/>
      <c r="Y108" s="1070"/>
      <c r="Z108" s="1070"/>
      <c r="AA108" s="1557"/>
      <c r="AB108" s="491"/>
      <c r="AC108" s="491"/>
      <c r="AD108" s="491"/>
      <c r="AE108" s="491"/>
    </row>
    <row r="109" spans="1:31" s="1566" customFormat="1" ht="11.25" customHeight="1">
      <c r="A109" s="903"/>
      <c r="B109" s="1561"/>
      <c r="C109" s="1561"/>
      <c r="D109" s="272"/>
      <c r="K109" s="1070"/>
      <c r="L109" s="1561"/>
      <c r="M109" s="1561"/>
      <c r="N109" s="1070"/>
      <c r="O109" s="1070"/>
      <c r="P109" s="1070"/>
      <c r="Q109" s="1070"/>
      <c r="R109" s="1561"/>
      <c r="S109" s="1070"/>
      <c r="T109" s="1070"/>
      <c r="U109" s="469"/>
      <c r="V109" s="1070"/>
      <c r="W109" s="1070"/>
      <c r="X109" s="1070"/>
      <c r="Y109" s="1070"/>
      <c r="Z109" s="1070"/>
      <c r="AA109" s="1557"/>
      <c r="AB109" s="491"/>
      <c r="AC109" s="491"/>
      <c r="AD109" s="491"/>
      <c r="AE109" s="491"/>
    </row>
    <row r="110" spans="1:31" s="1566" customFormat="1" ht="11.25" customHeight="1">
      <c r="A110" s="903"/>
      <c r="B110" s="1561"/>
      <c r="C110" s="1561"/>
      <c r="D110" s="272"/>
      <c r="K110" s="1070"/>
      <c r="L110" s="1561"/>
      <c r="M110" s="1561"/>
      <c r="N110" s="1070"/>
      <c r="O110" s="1070"/>
      <c r="P110" s="1070"/>
      <c r="Q110" s="1070"/>
      <c r="R110" s="1561"/>
      <c r="S110" s="1070"/>
      <c r="T110" s="1070"/>
      <c r="U110" s="469"/>
      <c r="V110" s="1070"/>
      <c r="W110" s="1070"/>
      <c r="X110" s="1070"/>
      <c r="Y110" s="1070"/>
      <c r="Z110" s="1070"/>
      <c r="AA110" s="1557"/>
      <c r="AB110" s="491"/>
      <c r="AC110" s="491"/>
      <c r="AD110" s="491"/>
      <c r="AE110" s="491"/>
    </row>
    <row r="111" spans="1:31" s="1566" customFormat="1" ht="11.25" customHeight="1">
      <c r="A111" s="903"/>
      <c r="B111" s="1561"/>
      <c r="C111" s="1561"/>
      <c r="D111" s="272"/>
      <c r="K111" s="1070"/>
      <c r="L111" s="1561"/>
      <c r="M111" s="1561"/>
      <c r="N111" s="1070"/>
      <c r="O111" s="1070"/>
      <c r="P111" s="1070"/>
      <c r="Q111" s="1070"/>
      <c r="R111" s="1561"/>
      <c r="S111" s="1070"/>
      <c r="T111" s="1070"/>
      <c r="U111" s="469"/>
      <c r="V111" s="1070"/>
      <c r="W111" s="1070"/>
      <c r="X111" s="1070"/>
      <c r="Y111" s="1070"/>
      <c r="Z111" s="1070"/>
      <c r="AA111" s="1557"/>
      <c r="AB111" s="491"/>
      <c r="AC111" s="491"/>
      <c r="AD111" s="491"/>
      <c r="AE111" s="491"/>
    </row>
    <row r="112" spans="1:31" s="1566" customFormat="1" ht="11.25" customHeight="1">
      <c r="A112" s="903"/>
      <c r="B112" s="1561"/>
      <c r="C112" s="1561"/>
      <c r="D112" s="272"/>
      <c r="K112" s="1070"/>
      <c r="L112" s="1561"/>
      <c r="M112" s="1561"/>
      <c r="N112" s="1070"/>
      <c r="O112" s="1070"/>
      <c r="P112" s="1070"/>
      <c r="Q112" s="1070"/>
      <c r="R112" s="1561"/>
      <c r="S112" s="1070"/>
      <c r="T112" s="1070"/>
      <c r="U112" s="469"/>
      <c r="V112" s="1070"/>
      <c r="W112" s="1070"/>
      <c r="X112" s="1070"/>
      <c r="Y112" s="1070"/>
      <c r="Z112" s="1070"/>
      <c r="AA112" s="1557"/>
      <c r="AB112" s="491"/>
      <c r="AC112" s="491"/>
      <c r="AD112" s="491"/>
      <c r="AE112" s="491"/>
    </row>
    <row r="113" spans="1:31" s="1566" customFormat="1" ht="11.25" customHeight="1">
      <c r="A113" s="903"/>
      <c r="B113" s="1561"/>
      <c r="C113" s="1561"/>
      <c r="D113" s="272"/>
      <c r="K113" s="1070"/>
      <c r="L113" s="1561"/>
      <c r="M113" s="1561"/>
      <c r="N113" s="1070"/>
      <c r="O113" s="1070"/>
      <c r="P113" s="1070"/>
      <c r="Q113" s="1070"/>
      <c r="R113" s="1561"/>
      <c r="S113" s="1070"/>
      <c r="T113" s="1070"/>
      <c r="U113" s="469"/>
      <c r="V113" s="1070"/>
      <c r="W113" s="1070"/>
      <c r="X113" s="1070"/>
      <c r="Y113" s="1070"/>
      <c r="Z113" s="1070"/>
      <c r="AA113" s="1557"/>
      <c r="AB113" s="491"/>
      <c r="AC113" s="491"/>
      <c r="AD113" s="491"/>
      <c r="AE113" s="491"/>
    </row>
    <row r="114" spans="1:31" s="1566" customFormat="1" ht="11.25" customHeight="1">
      <c r="A114" s="903"/>
      <c r="B114" s="1561"/>
      <c r="C114" s="1561"/>
      <c r="D114" s="272"/>
      <c r="K114" s="1070"/>
      <c r="L114" s="1561"/>
      <c r="M114" s="1561"/>
      <c r="N114" s="1070"/>
      <c r="O114" s="1070"/>
      <c r="P114" s="1070"/>
      <c r="Q114" s="1070"/>
      <c r="R114" s="1561"/>
      <c r="S114" s="1070"/>
      <c r="T114" s="1070"/>
      <c r="U114" s="469"/>
      <c r="V114" s="1070"/>
      <c r="W114" s="1070"/>
      <c r="X114" s="1070"/>
      <c r="Y114" s="1070"/>
      <c r="Z114" s="1070"/>
      <c r="AA114" s="1557"/>
      <c r="AB114" s="491"/>
      <c r="AC114" s="491"/>
      <c r="AD114" s="491"/>
      <c r="AE114" s="491"/>
    </row>
    <row r="115" spans="1:31" s="1566" customFormat="1" ht="11.25" customHeight="1">
      <c r="A115" s="903"/>
      <c r="B115" s="1561"/>
      <c r="C115" s="1561"/>
      <c r="D115" s="272"/>
      <c r="K115" s="1070"/>
      <c r="L115" s="1561"/>
      <c r="M115" s="1561"/>
      <c r="N115" s="1070"/>
      <c r="O115" s="1070"/>
      <c r="P115" s="1070"/>
      <c r="Q115" s="1070"/>
      <c r="R115" s="1561"/>
      <c r="S115" s="1070"/>
      <c r="T115" s="1070"/>
      <c r="U115" s="469"/>
      <c r="V115" s="1070"/>
      <c r="W115" s="1070"/>
      <c r="X115" s="1070"/>
      <c r="Y115" s="1070"/>
      <c r="Z115" s="1070"/>
      <c r="AA115" s="1557"/>
      <c r="AB115" s="491"/>
      <c r="AC115" s="491"/>
      <c r="AD115" s="491"/>
      <c r="AE115" s="491"/>
    </row>
    <row r="116" spans="1:31" s="1566" customFormat="1" ht="11.25" customHeight="1">
      <c r="A116" s="903"/>
      <c r="B116" s="1561"/>
      <c r="C116" s="1561"/>
      <c r="D116" s="272"/>
      <c r="K116" s="1070"/>
      <c r="L116" s="1561"/>
      <c r="M116" s="1561"/>
      <c r="N116" s="1070"/>
      <c r="O116" s="1070"/>
      <c r="P116" s="1070"/>
      <c r="Q116" s="1070"/>
      <c r="R116" s="1561"/>
      <c r="S116" s="1070"/>
      <c r="T116" s="1070"/>
      <c r="U116" s="469"/>
      <c r="V116" s="1070"/>
      <c r="W116" s="1070"/>
      <c r="X116" s="1070"/>
      <c r="Y116" s="1070"/>
      <c r="Z116" s="1070"/>
      <c r="AA116" s="1557"/>
      <c r="AB116" s="491"/>
      <c r="AC116" s="491"/>
      <c r="AD116" s="491"/>
      <c r="AE116" s="491"/>
    </row>
    <row r="117" spans="1:31" s="1566" customFormat="1" ht="11.25" customHeight="1">
      <c r="A117" s="903"/>
      <c r="B117" s="1561"/>
      <c r="C117" s="1561"/>
      <c r="D117" s="272"/>
      <c r="K117" s="1070"/>
      <c r="L117" s="1561"/>
      <c r="M117" s="1561"/>
      <c r="N117" s="1070"/>
      <c r="O117" s="1070"/>
      <c r="P117" s="1070"/>
      <c r="Q117" s="1070"/>
      <c r="R117" s="1561"/>
      <c r="S117" s="1070"/>
      <c r="T117" s="1070"/>
      <c r="U117" s="469"/>
      <c r="V117" s="1070"/>
      <c r="W117" s="1070"/>
      <c r="X117" s="1070"/>
      <c r="Y117" s="1070"/>
      <c r="Z117" s="1070"/>
      <c r="AA117" s="1557"/>
      <c r="AB117" s="491"/>
      <c r="AC117" s="491"/>
      <c r="AD117" s="491"/>
      <c r="AE117" s="491"/>
    </row>
    <row r="118" spans="1:31" s="1566" customFormat="1" ht="11.25" customHeight="1">
      <c r="A118" s="903"/>
      <c r="B118" s="1561"/>
      <c r="C118" s="1561"/>
      <c r="D118" s="272"/>
      <c r="K118" s="1070"/>
      <c r="L118" s="1561"/>
      <c r="M118" s="1561"/>
      <c r="N118" s="1070"/>
      <c r="O118" s="1070"/>
      <c r="P118" s="1070"/>
      <c r="Q118" s="1070"/>
      <c r="R118" s="1561"/>
      <c r="S118" s="1070"/>
      <c r="T118" s="1070"/>
      <c r="U118" s="469"/>
      <c r="V118" s="1070"/>
      <c r="W118" s="1070"/>
      <c r="X118" s="1070"/>
      <c r="Y118" s="1070"/>
      <c r="Z118" s="1070"/>
      <c r="AA118" s="1557"/>
      <c r="AB118" s="491"/>
      <c r="AC118" s="491"/>
      <c r="AD118" s="491"/>
      <c r="AE118" s="491"/>
    </row>
    <row r="119" spans="1:31" s="1566" customFormat="1" ht="11.25" customHeight="1">
      <c r="A119" s="903"/>
      <c r="B119" s="1561"/>
      <c r="C119" s="1561"/>
      <c r="D119" s="272"/>
      <c r="K119" s="1070"/>
      <c r="L119" s="1561"/>
      <c r="M119" s="1561"/>
      <c r="N119" s="1070"/>
      <c r="O119" s="1070"/>
      <c r="P119" s="1070"/>
      <c r="Q119" s="1070"/>
      <c r="R119" s="1561"/>
      <c r="S119" s="1070"/>
      <c r="T119" s="1070"/>
      <c r="U119" s="469"/>
      <c r="V119" s="1070"/>
      <c r="W119" s="1070"/>
      <c r="X119" s="1070"/>
      <c r="Y119" s="1070"/>
      <c r="Z119" s="1070"/>
      <c r="AA119" s="1557"/>
      <c r="AB119" s="491"/>
      <c r="AC119" s="491"/>
      <c r="AD119" s="491"/>
      <c r="AE119" s="491"/>
    </row>
    <row r="120" spans="1:31" s="1566" customFormat="1" ht="11.25" customHeight="1">
      <c r="A120" s="903"/>
      <c r="B120" s="1561"/>
      <c r="C120" s="1561"/>
      <c r="D120" s="272"/>
      <c r="K120" s="1070"/>
      <c r="L120" s="1561"/>
      <c r="M120" s="1561"/>
      <c r="N120" s="1070"/>
      <c r="O120" s="1070"/>
      <c r="P120" s="1070"/>
      <c r="Q120" s="1070"/>
      <c r="R120" s="1561"/>
      <c r="S120" s="1070"/>
      <c r="T120" s="1070"/>
      <c r="U120" s="469"/>
      <c r="V120" s="1070"/>
      <c r="W120" s="1070"/>
      <c r="X120" s="1070"/>
      <c r="Y120" s="1070"/>
      <c r="Z120" s="1070"/>
      <c r="AA120" s="1557"/>
      <c r="AB120" s="491"/>
      <c r="AC120" s="491"/>
      <c r="AD120" s="491"/>
      <c r="AE120" s="491"/>
    </row>
    <row r="121" spans="1:31" s="1566" customFormat="1" ht="11.25" customHeight="1">
      <c r="A121" s="903"/>
      <c r="B121" s="1561"/>
      <c r="C121" s="1561"/>
      <c r="D121" s="272"/>
      <c r="K121" s="1070"/>
      <c r="L121" s="1561"/>
      <c r="M121" s="1561"/>
      <c r="N121" s="1070"/>
      <c r="O121" s="1070"/>
      <c r="P121" s="1070"/>
      <c r="Q121" s="1070"/>
      <c r="R121" s="1561"/>
      <c r="S121" s="1070"/>
      <c r="T121" s="1070"/>
      <c r="U121" s="469"/>
      <c r="V121" s="1070"/>
      <c r="W121" s="1070"/>
      <c r="X121" s="1070"/>
      <c r="Y121" s="1070"/>
      <c r="Z121" s="1070"/>
      <c r="AA121" s="1557"/>
      <c r="AB121" s="491"/>
      <c r="AC121" s="491"/>
      <c r="AD121" s="491"/>
      <c r="AE121" s="491"/>
    </row>
    <row r="122" spans="1:31" s="1566" customFormat="1" ht="11.25" customHeight="1">
      <c r="A122" s="903"/>
      <c r="B122" s="1561"/>
      <c r="C122" s="1561"/>
      <c r="D122" s="272"/>
      <c r="K122" s="1070"/>
      <c r="L122" s="1561"/>
      <c r="M122" s="1561"/>
      <c r="N122" s="1070"/>
      <c r="O122" s="1070"/>
      <c r="P122" s="1070"/>
      <c r="Q122" s="1070"/>
      <c r="R122" s="1561"/>
      <c r="S122" s="1070"/>
      <c r="T122" s="1070"/>
      <c r="U122" s="469"/>
      <c r="V122" s="1070"/>
      <c r="W122" s="1070"/>
      <c r="X122" s="1070"/>
      <c r="Y122" s="1070"/>
      <c r="Z122" s="1070"/>
      <c r="AA122" s="1557"/>
      <c r="AB122" s="491"/>
      <c r="AC122" s="491"/>
      <c r="AD122" s="491"/>
      <c r="AE122" s="491"/>
    </row>
    <row r="123" spans="1:31" s="1566" customFormat="1" ht="11.25" customHeight="1">
      <c r="A123" s="903"/>
      <c r="B123" s="1561"/>
      <c r="C123" s="1561"/>
      <c r="D123" s="272"/>
      <c r="K123" s="1070"/>
      <c r="L123" s="1561"/>
      <c r="M123" s="1561"/>
      <c r="N123" s="1070"/>
      <c r="O123" s="1070"/>
      <c r="P123" s="1070"/>
      <c r="Q123" s="1070"/>
      <c r="R123" s="1561"/>
      <c r="S123" s="1070"/>
      <c r="T123" s="1070"/>
      <c r="U123" s="469"/>
      <c r="V123" s="1070"/>
      <c r="W123" s="1070"/>
      <c r="X123" s="1070"/>
      <c r="Y123" s="1070"/>
      <c r="Z123" s="1070"/>
      <c r="AA123" s="1557"/>
      <c r="AB123" s="491"/>
      <c r="AC123" s="491"/>
      <c r="AD123" s="491"/>
      <c r="AE123" s="491"/>
    </row>
    <row r="124" spans="1:31" s="1566" customFormat="1" ht="11.25" customHeight="1">
      <c r="A124" s="903"/>
      <c r="B124" s="1561"/>
      <c r="C124" s="1561"/>
      <c r="D124" s="272"/>
      <c r="K124" s="1070"/>
      <c r="L124" s="1561"/>
      <c r="M124" s="1561"/>
      <c r="N124" s="1070"/>
      <c r="O124" s="1070"/>
      <c r="P124" s="1070"/>
      <c r="Q124" s="1070"/>
      <c r="R124" s="1561"/>
      <c r="S124" s="1070"/>
      <c r="T124" s="1070"/>
      <c r="U124" s="469"/>
      <c r="V124" s="1070"/>
      <c r="W124" s="1070"/>
      <c r="X124" s="1070"/>
      <c r="Y124" s="1070"/>
      <c r="Z124" s="1070"/>
      <c r="AA124" s="1557"/>
      <c r="AB124" s="491"/>
      <c r="AC124" s="491"/>
      <c r="AD124" s="491"/>
      <c r="AE124" s="491"/>
    </row>
    <row r="125" spans="1:31" s="1566" customFormat="1" ht="11.25" customHeight="1">
      <c r="A125" s="903"/>
      <c r="B125" s="1561"/>
      <c r="C125" s="1561"/>
      <c r="D125" s="272"/>
      <c r="K125" s="1070"/>
      <c r="L125" s="1561"/>
      <c r="M125" s="1561"/>
      <c r="N125" s="1070"/>
      <c r="O125" s="1070"/>
      <c r="P125" s="1070"/>
      <c r="Q125" s="1070"/>
      <c r="R125" s="1561"/>
      <c r="S125" s="1070"/>
      <c r="T125" s="1070"/>
      <c r="U125" s="469"/>
      <c r="V125" s="1070"/>
      <c r="W125" s="1070"/>
      <c r="X125" s="1070"/>
      <c r="Y125" s="1070"/>
      <c r="Z125" s="1070"/>
      <c r="AA125" s="1557"/>
      <c r="AB125" s="491"/>
      <c r="AC125" s="491"/>
      <c r="AD125" s="491"/>
      <c r="AE125" s="491"/>
    </row>
    <row r="126" spans="1:31" s="1566" customFormat="1" ht="11.25" customHeight="1">
      <c r="A126" s="903"/>
      <c r="B126" s="1561"/>
      <c r="C126" s="1561"/>
      <c r="D126" s="272"/>
      <c r="K126" s="1070"/>
      <c r="L126" s="1561"/>
      <c r="M126" s="1561"/>
      <c r="N126" s="1070"/>
      <c r="O126" s="1070"/>
      <c r="P126" s="1070"/>
      <c r="Q126" s="1070"/>
      <c r="R126" s="1561"/>
      <c r="S126" s="1070"/>
      <c r="T126" s="1070"/>
      <c r="U126" s="469"/>
      <c r="V126" s="1070"/>
      <c r="W126" s="1070"/>
      <c r="X126" s="1070"/>
      <c r="Y126" s="1070"/>
      <c r="Z126" s="1070"/>
      <c r="AA126" s="1557"/>
      <c r="AB126" s="491"/>
      <c r="AC126" s="491"/>
      <c r="AD126" s="491"/>
      <c r="AE126" s="491"/>
    </row>
    <row r="127" spans="1:31" s="1566" customFormat="1" ht="11.25" customHeight="1">
      <c r="A127" s="903"/>
      <c r="B127" s="1561"/>
      <c r="C127" s="1561"/>
      <c r="D127" s="272"/>
      <c r="K127" s="1070"/>
      <c r="L127" s="1561"/>
      <c r="M127" s="1561"/>
      <c r="N127" s="1070"/>
      <c r="O127" s="1070"/>
      <c r="P127" s="1070"/>
      <c r="Q127" s="1070"/>
      <c r="R127" s="1561"/>
      <c r="S127" s="1070"/>
      <c r="T127" s="1070"/>
      <c r="U127" s="469"/>
      <c r="V127" s="1070"/>
      <c r="W127" s="1070"/>
      <c r="X127" s="1070"/>
      <c r="Y127" s="1070"/>
      <c r="Z127" s="1070"/>
      <c r="AA127" s="1557"/>
      <c r="AB127" s="491"/>
      <c r="AC127" s="491"/>
      <c r="AD127" s="491"/>
      <c r="AE127" s="491"/>
    </row>
    <row r="128" spans="1:31" s="1566" customFormat="1" ht="11.25" customHeight="1">
      <c r="A128" s="903"/>
      <c r="B128" s="1561"/>
      <c r="C128" s="1561"/>
      <c r="D128" s="272"/>
      <c r="K128" s="1070"/>
      <c r="L128" s="1561"/>
      <c r="M128" s="1561"/>
      <c r="N128" s="1070"/>
      <c r="O128" s="1070"/>
      <c r="P128" s="1070"/>
      <c r="Q128" s="1070"/>
      <c r="R128" s="1561"/>
      <c r="S128" s="1070"/>
      <c r="T128" s="1070"/>
      <c r="U128" s="469"/>
      <c r="V128" s="1070"/>
      <c r="W128" s="1070"/>
      <c r="X128" s="1070"/>
      <c r="Y128" s="1070"/>
      <c r="Z128" s="1070"/>
      <c r="AA128" s="1557"/>
      <c r="AB128" s="491"/>
      <c r="AC128" s="491"/>
      <c r="AD128" s="491"/>
      <c r="AE128" s="491"/>
    </row>
    <row r="129" spans="1:31" s="1566" customFormat="1" ht="11.25" customHeight="1">
      <c r="A129" s="903"/>
      <c r="B129" s="1561"/>
      <c r="C129" s="1561"/>
      <c r="D129" s="272"/>
      <c r="K129" s="1070"/>
      <c r="L129" s="1561"/>
      <c r="M129" s="1561"/>
      <c r="N129" s="1070"/>
      <c r="O129" s="1070"/>
      <c r="P129" s="1070"/>
      <c r="Q129" s="1070"/>
      <c r="R129" s="1561"/>
      <c r="S129" s="1070"/>
      <c r="T129" s="1070"/>
      <c r="U129" s="469"/>
      <c r="V129" s="1070"/>
      <c r="W129" s="1070"/>
      <c r="X129" s="1070"/>
      <c r="Y129" s="1070"/>
      <c r="Z129" s="1070"/>
      <c r="AA129" s="1557"/>
      <c r="AB129" s="491"/>
      <c r="AC129" s="491"/>
      <c r="AD129" s="491"/>
      <c r="AE129" s="491"/>
    </row>
    <row r="130" spans="1:31" s="1566" customFormat="1" ht="11.25" customHeight="1">
      <c r="A130" s="903"/>
      <c r="B130" s="1561"/>
      <c r="C130" s="1561"/>
      <c r="D130" s="272"/>
      <c r="K130" s="1070"/>
      <c r="L130" s="1561"/>
      <c r="M130" s="1561"/>
      <c r="N130" s="1070"/>
      <c r="O130" s="1070"/>
      <c r="P130" s="1070"/>
      <c r="Q130" s="1070"/>
      <c r="R130" s="1561"/>
      <c r="S130" s="1070"/>
      <c r="T130" s="1070"/>
      <c r="U130" s="469"/>
      <c r="V130" s="1070"/>
      <c r="W130" s="1070"/>
      <c r="X130" s="1070"/>
      <c r="Y130" s="1070"/>
      <c r="Z130" s="1070"/>
      <c r="AA130" s="1557"/>
      <c r="AB130" s="491"/>
      <c r="AC130" s="491"/>
      <c r="AD130" s="491"/>
      <c r="AE130" s="491"/>
    </row>
    <row r="131" spans="1:31" s="1566" customFormat="1" ht="11.25" customHeight="1">
      <c r="A131" s="903"/>
      <c r="B131" s="1561"/>
      <c r="C131" s="1561"/>
      <c r="D131" s="272"/>
      <c r="K131" s="1070"/>
      <c r="L131" s="1561"/>
      <c r="M131" s="1561"/>
      <c r="N131" s="1070"/>
      <c r="O131" s="1070"/>
      <c r="P131" s="1070"/>
      <c r="Q131" s="1070"/>
      <c r="R131" s="1561"/>
      <c r="S131" s="1070"/>
      <c r="T131" s="1070"/>
      <c r="U131" s="469"/>
      <c r="V131" s="1070"/>
      <c r="W131" s="1070"/>
      <c r="X131" s="1070"/>
      <c r="Y131" s="1070"/>
      <c r="Z131" s="1070"/>
      <c r="AA131" s="1557"/>
      <c r="AB131" s="491"/>
      <c r="AC131" s="491"/>
      <c r="AD131" s="491"/>
      <c r="AE131" s="491"/>
    </row>
    <row r="132" spans="1:31" s="1566" customFormat="1" ht="11.25" customHeight="1">
      <c r="A132" s="903"/>
      <c r="B132" s="1561"/>
      <c r="C132" s="1561"/>
      <c r="D132" s="272"/>
      <c r="K132" s="1070"/>
      <c r="L132" s="1561"/>
      <c r="M132" s="1561"/>
      <c r="N132" s="1070"/>
      <c r="O132" s="1070"/>
      <c r="P132" s="1070"/>
      <c r="Q132" s="1070"/>
      <c r="R132" s="1561"/>
      <c r="S132" s="1070"/>
      <c r="T132" s="1070"/>
      <c r="U132" s="469"/>
      <c r="V132" s="1070"/>
      <c r="W132" s="1070"/>
      <c r="X132" s="1070"/>
      <c r="Y132" s="1070"/>
      <c r="Z132" s="1070"/>
      <c r="AA132" s="1557"/>
      <c r="AB132" s="491"/>
      <c r="AC132" s="491"/>
      <c r="AD132" s="491"/>
      <c r="AE132" s="491"/>
    </row>
    <row r="133" spans="1:31" s="1566" customFormat="1" ht="11.25" customHeight="1">
      <c r="A133" s="903"/>
      <c r="B133" s="1561"/>
      <c r="C133" s="1561"/>
      <c r="D133" s="272"/>
      <c r="K133" s="1070"/>
      <c r="L133" s="1561"/>
      <c r="M133" s="1561"/>
      <c r="N133" s="1070"/>
      <c r="O133" s="1070"/>
      <c r="P133" s="1070"/>
      <c r="Q133" s="1070"/>
      <c r="R133" s="1561"/>
      <c r="S133" s="1070"/>
      <c r="T133" s="1070"/>
      <c r="U133" s="469"/>
      <c r="V133" s="1070"/>
      <c r="W133" s="1070"/>
      <c r="X133" s="1070"/>
      <c r="Y133" s="1070"/>
      <c r="Z133" s="1070"/>
      <c r="AA133" s="1557"/>
      <c r="AB133" s="491"/>
      <c r="AC133" s="491"/>
      <c r="AD133" s="491"/>
      <c r="AE133" s="491"/>
    </row>
    <row r="134" spans="1:31" s="1566" customFormat="1" ht="11.25" customHeight="1">
      <c r="A134" s="903"/>
      <c r="B134" s="1561"/>
      <c r="C134" s="1561"/>
      <c r="D134" s="272"/>
      <c r="K134" s="1070"/>
      <c r="L134" s="1561"/>
      <c r="M134" s="1561"/>
      <c r="N134" s="1070"/>
      <c r="O134" s="1070"/>
      <c r="P134" s="1070"/>
      <c r="Q134" s="1070"/>
      <c r="R134" s="1561"/>
      <c r="S134" s="1070"/>
      <c r="T134" s="1070"/>
      <c r="U134" s="469"/>
      <c r="V134" s="1070"/>
      <c r="W134" s="1070"/>
      <c r="X134" s="1070"/>
      <c r="Y134" s="1070"/>
      <c r="Z134" s="1070"/>
      <c r="AA134" s="1557"/>
      <c r="AB134" s="491"/>
      <c r="AC134" s="491"/>
      <c r="AD134" s="491"/>
      <c r="AE134" s="491"/>
    </row>
    <row r="135" spans="1:31" s="1566" customFormat="1" ht="11.25" customHeight="1">
      <c r="A135" s="903"/>
      <c r="B135" s="1561"/>
      <c r="C135" s="1561"/>
      <c r="D135" s="272"/>
      <c r="K135" s="1070"/>
      <c r="L135" s="1561"/>
      <c r="M135" s="1561"/>
      <c r="N135" s="1070"/>
      <c r="O135" s="1070"/>
      <c r="P135" s="1070"/>
      <c r="Q135" s="1070"/>
      <c r="R135" s="1561"/>
      <c r="S135" s="1070"/>
      <c r="T135" s="1070"/>
      <c r="U135" s="469"/>
      <c r="V135" s="1070"/>
      <c r="W135" s="1070"/>
      <c r="X135" s="1070"/>
      <c r="Y135" s="1070"/>
      <c r="Z135" s="1070"/>
      <c r="AA135" s="1557"/>
      <c r="AB135" s="491"/>
      <c r="AC135" s="491"/>
      <c r="AD135" s="491"/>
      <c r="AE135" s="491"/>
    </row>
    <row r="136" spans="1:31" s="1566" customFormat="1" ht="11.25" customHeight="1">
      <c r="A136" s="903"/>
      <c r="B136" s="1561"/>
      <c r="C136" s="1561"/>
      <c r="D136" s="272"/>
      <c r="K136" s="1070"/>
      <c r="L136" s="1561"/>
      <c r="M136" s="1561"/>
      <c r="N136" s="1070"/>
      <c r="O136" s="1070"/>
      <c r="P136" s="1070"/>
      <c r="Q136" s="1070"/>
      <c r="R136" s="1561"/>
      <c r="S136" s="1070"/>
      <c r="T136" s="1070"/>
      <c r="U136" s="469"/>
      <c r="V136" s="1070"/>
      <c r="W136" s="1070"/>
      <c r="X136" s="1070"/>
      <c r="Y136" s="1070"/>
      <c r="Z136" s="1070"/>
      <c r="AA136" s="1557"/>
      <c r="AB136" s="491"/>
      <c r="AC136" s="491"/>
      <c r="AD136" s="491"/>
      <c r="AE136" s="491"/>
    </row>
    <row r="137" spans="1:31" s="1566" customFormat="1" ht="11.25" customHeight="1">
      <c r="A137" s="903"/>
      <c r="B137" s="1561"/>
      <c r="C137" s="1561"/>
      <c r="D137" s="272"/>
      <c r="K137" s="1070"/>
      <c r="L137" s="1561"/>
      <c r="M137" s="1561"/>
      <c r="N137" s="1070"/>
      <c r="O137" s="1070"/>
      <c r="P137" s="1070"/>
      <c r="Q137" s="1070"/>
      <c r="R137" s="1561"/>
      <c r="S137" s="1070"/>
      <c r="T137" s="1070"/>
      <c r="U137" s="469"/>
      <c r="V137" s="1070"/>
      <c r="W137" s="1070"/>
      <c r="X137" s="1070"/>
      <c r="Y137" s="1070"/>
      <c r="Z137" s="1070"/>
      <c r="AA137" s="1557"/>
      <c r="AB137" s="491"/>
      <c r="AC137" s="491"/>
      <c r="AD137" s="491"/>
      <c r="AE137" s="491"/>
    </row>
    <row r="138" spans="1:31" s="1566" customFormat="1" ht="11.25" customHeight="1">
      <c r="A138" s="903"/>
      <c r="B138" s="1561"/>
      <c r="C138" s="1561"/>
      <c r="D138" s="272"/>
      <c r="K138" s="1070"/>
      <c r="L138" s="1561"/>
      <c r="M138" s="1561"/>
      <c r="N138" s="1070"/>
      <c r="O138" s="1070"/>
      <c r="P138" s="1070"/>
      <c r="Q138" s="1070"/>
      <c r="R138" s="1561"/>
      <c r="S138" s="1070"/>
      <c r="T138" s="1070"/>
      <c r="U138" s="469"/>
      <c r="V138" s="1070"/>
      <c r="W138" s="1070"/>
      <c r="X138" s="1070"/>
      <c r="Y138" s="1070"/>
      <c r="Z138" s="1070"/>
      <c r="AA138" s="1557"/>
      <c r="AB138" s="491"/>
      <c r="AC138" s="491"/>
      <c r="AD138" s="491"/>
      <c r="AE138" s="491"/>
    </row>
    <row r="139" spans="1:31" s="1566" customFormat="1" ht="11.25" customHeight="1">
      <c r="A139" s="903"/>
      <c r="B139" s="1561"/>
      <c r="C139" s="1561"/>
      <c r="D139" s="272"/>
      <c r="K139" s="1070"/>
      <c r="L139" s="1561"/>
      <c r="M139" s="1561"/>
      <c r="N139" s="1070"/>
      <c r="O139" s="1070"/>
      <c r="P139" s="1070"/>
      <c r="Q139" s="1070"/>
      <c r="R139" s="1561"/>
      <c r="S139" s="1070"/>
      <c r="T139" s="1070"/>
      <c r="U139" s="469"/>
      <c r="V139" s="1070"/>
      <c r="W139" s="1070"/>
      <c r="X139" s="1070"/>
      <c r="Y139" s="1070"/>
      <c r="Z139" s="1070"/>
      <c r="AA139" s="1557"/>
      <c r="AB139" s="491"/>
      <c r="AC139" s="491"/>
      <c r="AD139" s="491"/>
      <c r="AE139" s="491"/>
    </row>
    <row r="140" spans="1:31" s="1566" customFormat="1" ht="11.25" customHeight="1">
      <c r="A140" s="903"/>
      <c r="B140" s="1561"/>
      <c r="C140" s="1561"/>
      <c r="D140" s="272"/>
      <c r="K140" s="1070"/>
      <c r="L140" s="1561"/>
      <c r="M140" s="1561"/>
      <c r="N140" s="1070"/>
      <c r="O140" s="1070"/>
      <c r="P140" s="1070"/>
      <c r="Q140" s="1070"/>
      <c r="R140" s="1561"/>
      <c r="S140" s="1070"/>
      <c r="T140" s="1070"/>
      <c r="U140" s="469"/>
      <c r="V140" s="1070"/>
      <c r="W140" s="1070"/>
      <c r="X140" s="1070"/>
      <c r="Y140" s="1070"/>
      <c r="Z140" s="1070"/>
      <c r="AA140" s="1557"/>
      <c r="AB140" s="491"/>
      <c r="AC140" s="491"/>
      <c r="AD140" s="491"/>
      <c r="AE140" s="491"/>
    </row>
    <row r="141" spans="1:31" s="1566" customFormat="1" ht="11.25" customHeight="1">
      <c r="A141" s="903"/>
      <c r="B141" s="1561"/>
      <c r="C141" s="1561"/>
      <c r="D141" s="272"/>
      <c r="K141" s="1070"/>
      <c r="L141" s="1561"/>
      <c r="M141" s="1561"/>
      <c r="N141" s="1070"/>
      <c r="O141" s="1070"/>
      <c r="P141" s="1070"/>
      <c r="Q141" s="1070"/>
      <c r="R141" s="1561"/>
      <c r="S141" s="1070"/>
      <c r="T141" s="1070"/>
      <c r="U141" s="469"/>
      <c r="V141" s="1070"/>
      <c r="W141" s="1070"/>
      <c r="X141" s="1070"/>
      <c r="Y141" s="1070"/>
      <c r="Z141" s="1070"/>
      <c r="AA141" s="1557"/>
      <c r="AB141" s="491"/>
      <c r="AC141" s="491"/>
      <c r="AD141" s="491"/>
      <c r="AE141" s="491"/>
    </row>
    <row r="142" spans="1:31" s="1566" customFormat="1" ht="11.25" customHeight="1">
      <c r="A142" s="903"/>
      <c r="B142" s="1561"/>
      <c r="C142" s="1561"/>
      <c r="D142" s="272"/>
      <c r="K142" s="1070"/>
      <c r="L142" s="1561"/>
      <c r="M142" s="1561"/>
      <c r="N142" s="1070"/>
      <c r="O142" s="1070"/>
      <c r="P142" s="1070"/>
      <c r="Q142" s="1070"/>
      <c r="R142" s="1561"/>
      <c r="S142" s="1070"/>
      <c r="T142" s="1070"/>
      <c r="U142" s="469"/>
      <c r="V142" s="1070"/>
      <c r="W142" s="1070"/>
      <c r="X142" s="1070"/>
      <c r="Y142" s="1070"/>
      <c r="Z142" s="1070"/>
      <c r="AA142" s="1557"/>
      <c r="AB142" s="491"/>
      <c r="AC142" s="491"/>
      <c r="AD142" s="491"/>
      <c r="AE142" s="491"/>
    </row>
    <row r="143" spans="1:31" s="1566" customFormat="1" ht="11.25" customHeight="1">
      <c r="A143" s="903"/>
      <c r="B143" s="1561"/>
      <c r="C143" s="1561"/>
      <c r="D143" s="272"/>
      <c r="K143" s="1070"/>
      <c r="L143" s="1561"/>
      <c r="M143" s="1561"/>
      <c r="N143" s="1070"/>
      <c r="O143" s="1070"/>
      <c r="P143" s="1070"/>
      <c r="Q143" s="1070"/>
      <c r="R143" s="1561"/>
      <c r="S143" s="1070"/>
      <c r="T143" s="1070"/>
      <c r="U143" s="469"/>
      <c r="V143" s="1070"/>
      <c r="W143" s="1070"/>
      <c r="X143" s="1070"/>
      <c r="Y143" s="1070"/>
      <c r="Z143" s="1070"/>
      <c r="AA143" s="1557"/>
      <c r="AB143" s="491"/>
      <c r="AC143" s="491"/>
      <c r="AD143" s="491"/>
      <c r="AE143" s="491"/>
    </row>
    <row r="144" spans="1:31" s="1566" customFormat="1" ht="11.25" customHeight="1">
      <c r="A144" s="903"/>
      <c r="B144" s="1561"/>
      <c r="C144" s="1561"/>
      <c r="D144" s="272"/>
      <c r="K144" s="1070"/>
      <c r="L144" s="1561"/>
      <c r="M144" s="1561"/>
      <c r="N144" s="1070"/>
      <c r="O144" s="1070"/>
      <c r="P144" s="1070"/>
      <c r="Q144" s="1070"/>
      <c r="R144" s="1561"/>
      <c r="S144" s="1070"/>
      <c r="T144" s="1070"/>
      <c r="U144" s="469"/>
      <c r="V144" s="1070"/>
      <c r="W144" s="1070"/>
      <c r="X144" s="1070"/>
      <c r="Y144" s="1070"/>
      <c r="Z144" s="1070"/>
      <c r="AA144" s="1557"/>
      <c r="AB144" s="491"/>
      <c r="AC144" s="491"/>
      <c r="AD144" s="491"/>
      <c r="AE144" s="491"/>
    </row>
    <row r="145" spans="1:31" s="1566" customFormat="1" ht="11.25" customHeight="1">
      <c r="A145" s="903"/>
      <c r="B145" s="1561"/>
      <c r="C145" s="1561"/>
      <c r="D145" s="272"/>
      <c r="K145" s="1070"/>
      <c r="L145" s="1561"/>
      <c r="M145" s="1561"/>
      <c r="N145" s="1070"/>
      <c r="O145" s="1070"/>
      <c r="P145" s="1070"/>
      <c r="Q145" s="1070"/>
      <c r="R145" s="1561"/>
      <c r="S145" s="1070"/>
      <c r="T145" s="1070"/>
      <c r="U145" s="469"/>
      <c r="V145" s="1070"/>
      <c r="W145" s="1070"/>
      <c r="X145" s="1070"/>
      <c r="Y145" s="1070"/>
      <c r="Z145" s="1070"/>
      <c r="AA145" s="1557"/>
      <c r="AB145" s="491"/>
      <c r="AC145" s="491"/>
      <c r="AD145" s="491"/>
      <c r="AE145" s="491"/>
    </row>
    <row r="146" spans="1:31" s="1566" customFormat="1" ht="11.25" customHeight="1">
      <c r="A146" s="903"/>
      <c r="B146" s="1561"/>
      <c r="C146" s="1561"/>
      <c r="D146" s="272"/>
      <c r="K146" s="1070"/>
      <c r="L146" s="1561"/>
      <c r="M146" s="1561"/>
      <c r="N146" s="1070"/>
      <c r="O146" s="1070"/>
      <c r="P146" s="1070"/>
      <c r="Q146" s="1070"/>
      <c r="R146" s="1561"/>
      <c r="S146" s="1070"/>
      <c r="T146" s="1070"/>
      <c r="U146" s="469"/>
      <c r="V146" s="1070"/>
      <c r="W146" s="1070"/>
      <c r="X146" s="1070"/>
      <c r="Y146" s="1070"/>
      <c r="Z146" s="1070"/>
      <c r="AA146" s="1557"/>
      <c r="AB146" s="491"/>
      <c r="AC146" s="491"/>
      <c r="AD146" s="491"/>
      <c r="AE146" s="491"/>
    </row>
    <row r="147" spans="1:31" s="1566" customFormat="1" ht="11.25" customHeight="1">
      <c r="A147" s="903"/>
      <c r="B147" s="1561"/>
      <c r="C147" s="1561"/>
      <c r="D147" s="272"/>
      <c r="K147" s="1070"/>
      <c r="L147" s="1561"/>
      <c r="M147" s="1561"/>
      <c r="N147" s="1070"/>
      <c r="O147" s="1070"/>
      <c r="P147" s="1070"/>
      <c r="Q147" s="1070"/>
      <c r="R147" s="1561"/>
      <c r="S147" s="1070"/>
      <c r="T147" s="1070"/>
      <c r="U147" s="469"/>
      <c r="V147" s="1070"/>
      <c r="W147" s="1070"/>
      <c r="X147" s="1070"/>
      <c r="Y147" s="1070"/>
      <c r="Z147" s="1070"/>
      <c r="AA147" s="1557"/>
      <c r="AB147" s="491"/>
      <c r="AC147" s="491"/>
      <c r="AD147" s="491"/>
      <c r="AE147" s="491"/>
    </row>
    <row r="148" spans="1:31" s="1566" customFormat="1" ht="11.25" customHeight="1">
      <c r="A148" s="903"/>
      <c r="B148" s="1561"/>
      <c r="C148" s="1561"/>
      <c r="D148" s="272"/>
      <c r="K148" s="1070"/>
      <c r="L148" s="1561"/>
      <c r="M148" s="1561"/>
      <c r="N148" s="1070"/>
      <c r="O148" s="1070"/>
      <c r="P148" s="1070"/>
      <c r="Q148" s="1070"/>
      <c r="R148" s="1561"/>
      <c r="S148" s="1070"/>
      <c r="T148" s="1070"/>
      <c r="U148" s="469"/>
      <c r="V148" s="1070"/>
      <c r="W148" s="1070"/>
      <c r="X148" s="1070"/>
      <c r="Y148" s="1070"/>
      <c r="Z148" s="1070"/>
      <c r="AA148" s="1557"/>
      <c r="AB148" s="491"/>
      <c r="AC148" s="491"/>
      <c r="AD148" s="491"/>
      <c r="AE148" s="491"/>
    </row>
    <row r="149" spans="1:31" s="1566" customFormat="1" ht="11.25" customHeight="1">
      <c r="A149" s="903"/>
      <c r="B149" s="1561"/>
      <c r="C149" s="1561"/>
      <c r="D149" s="272"/>
      <c r="K149" s="1070"/>
      <c r="L149" s="1561"/>
      <c r="M149" s="1561"/>
      <c r="N149" s="1070"/>
      <c r="O149" s="1070"/>
      <c r="P149" s="1070"/>
      <c r="Q149" s="1070"/>
      <c r="R149" s="1561"/>
      <c r="S149" s="1070"/>
      <c r="T149" s="1070"/>
      <c r="U149" s="469"/>
      <c r="V149" s="1070"/>
      <c r="W149" s="1070"/>
      <c r="X149" s="1070"/>
      <c r="Y149" s="1070"/>
      <c r="Z149" s="1070"/>
      <c r="AA149" s="1557"/>
      <c r="AB149" s="491"/>
      <c r="AC149" s="491"/>
      <c r="AD149" s="491"/>
      <c r="AE149" s="491"/>
    </row>
    <row r="150" spans="1:31" s="1566" customFormat="1" ht="11.25" customHeight="1">
      <c r="A150" s="903"/>
      <c r="B150" s="1561"/>
      <c r="C150" s="1561"/>
      <c r="D150" s="272"/>
      <c r="K150" s="1070"/>
      <c r="L150" s="1561"/>
      <c r="M150" s="1561"/>
      <c r="N150" s="1070"/>
      <c r="O150" s="1070"/>
      <c r="P150" s="1070"/>
      <c r="Q150" s="1070"/>
      <c r="R150" s="1561"/>
      <c r="S150" s="1070"/>
      <c r="T150" s="1070"/>
      <c r="U150" s="469"/>
      <c r="V150" s="1070"/>
      <c r="W150" s="1070"/>
      <c r="X150" s="1070"/>
      <c r="Y150" s="1070"/>
      <c r="Z150" s="1070"/>
      <c r="AA150" s="1557"/>
      <c r="AB150" s="491"/>
      <c r="AC150" s="491"/>
      <c r="AD150" s="491"/>
      <c r="AE150" s="491"/>
    </row>
    <row r="151" spans="1:31" s="1566" customFormat="1" ht="11.25" customHeight="1">
      <c r="A151" s="903"/>
      <c r="B151" s="1561"/>
      <c r="C151" s="1561"/>
      <c r="D151" s="272"/>
      <c r="K151" s="1070"/>
      <c r="L151" s="1561"/>
      <c r="M151" s="1561"/>
      <c r="N151" s="1070"/>
      <c r="O151" s="1070"/>
      <c r="P151" s="1070"/>
      <c r="Q151" s="1070"/>
      <c r="R151" s="1561"/>
      <c r="S151" s="1070"/>
      <c r="T151" s="1070"/>
      <c r="U151" s="469"/>
      <c r="V151" s="1070"/>
      <c r="W151" s="1070"/>
      <c r="X151" s="1070"/>
      <c r="Y151" s="1070"/>
      <c r="Z151" s="1070"/>
      <c r="AA151" s="1557"/>
      <c r="AB151" s="491"/>
      <c r="AC151" s="491"/>
      <c r="AD151" s="491"/>
      <c r="AE151" s="491"/>
    </row>
    <row r="152" spans="1:31" s="1566" customFormat="1" ht="11.25" customHeight="1">
      <c r="A152" s="903"/>
      <c r="B152" s="1561"/>
      <c r="C152" s="1561"/>
      <c r="D152" s="272"/>
      <c r="K152" s="1070"/>
      <c r="L152" s="1561"/>
      <c r="M152" s="1561"/>
      <c r="N152" s="1070"/>
      <c r="O152" s="1070"/>
      <c r="P152" s="1070"/>
      <c r="Q152" s="1070"/>
      <c r="R152" s="1561"/>
      <c r="S152" s="1070"/>
      <c r="T152" s="1070"/>
      <c r="U152" s="469"/>
      <c r="V152" s="1070"/>
      <c r="W152" s="1070"/>
      <c r="X152" s="1070"/>
      <c r="Y152" s="1070"/>
      <c r="Z152" s="1070"/>
      <c r="AA152" s="1557"/>
      <c r="AB152" s="491"/>
      <c r="AC152" s="491"/>
      <c r="AD152" s="491"/>
      <c r="AE152" s="491"/>
    </row>
    <row r="153" spans="1:31" s="1566" customFormat="1" ht="11.25" customHeight="1">
      <c r="A153" s="903"/>
      <c r="B153" s="1561"/>
      <c r="C153" s="1561"/>
      <c r="D153" s="272"/>
      <c r="K153" s="1070"/>
      <c r="L153" s="1561"/>
      <c r="M153" s="1561"/>
      <c r="N153" s="1070"/>
      <c r="O153" s="1070"/>
      <c r="P153" s="1070"/>
      <c r="Q153" s="1070"/>
      <c r="R153" s="1561"/>
      <c r="S153" s="1070"/>
      <c r="T153" s="1070"/>
      <c r="U153" s="469"/>
      <c r="V153" s="1070"/>
      <c r="W153" s="1070"/>
      <c r="X153" s="1070"/>
      <c r="Y153" s="1070"/>
      <c r="Z153" s="1070"/>
      <c r="AA153" s="1557"/>
      <c r="AB153" s="491"/>
      <c r="AC153" s="491"/>
      <c r="AD153" s="491"/>
      <c r="AE153" s="491"/>
    </row>
    <row r="154" spans="1:31" s="1566" customFormat="1" ht="11.25" customHeight="1">
      <c r="A154" s="903"/>
      <c r="B154" s="1561"/>
      <c r="C154" s="1561"/>
      <c r="D154" s="272"/>
      <c r="K154" s="1070"/>
      <c r="L154" s="1561"/>
      <c r="M154" s="1561"/>
      <c r="N154" s="1070"/>
      <c r="O154" s="1070"/>
      <c r="P154" s="1070"/>
      <c r="Q154" s="1070"/>
      <c r="R154" s="1561"/>
      <c r="S154" s="1070"/>
      <c r="T154" s="1070"/>
      <c r="U154" s="469"/>
      <c r="V154" s="1070"/>
      <c r="W154" s="1070"/>
      <c r="X154" s="1070"/>
      <c r="Y154" s="1070"/>
      <c r="Z154" s="1070"/>
      <c r="AA154" s="1557"/>
      <c r="AB154" s="491"/>
      <c r="AC154" s="491"/>
      <c r="AD154" s="491"/>
      <c r="AE154" s="491"/>
    </row>
    <row r="155" spans="1:31" s="1566" customFormat="1" ht="11.25" customHeight="1">
      <c r="A155" s="903"/>
      <c r="B155" s="1561"/>
      <c r="C155" s="1561"/>
      <c r="D155" s="272"/>
      <c r="K155" s="1070"/>
      <c r="L155" s="1561"/>
      <c r="M155" s="1561"/>
      <c r="N155" s="1070"/>
      <c r="O155" s="1070"/>
      <c r="P155" s="1070"/>
      <c r="Q155" s="1070"/>
      <c r="R155" s="1561"/>
      <c r="S155" s="1070"/>
      <c r="T155" s="1070"/>
      <c r="U155" s="469"/>
      <c r="V155" s="1070"/>
      <c r="W155" s="1070"/>
      <c r="X155" s="1070"/>
      <c r="Y155" s="1070"/>
      <c r="Z155" s="1070"/>
      <c r="AA155" s="1557"/>
      <c r="AB155" s="491"/>
      <c r="AC155" s="491"/>
      <c r="AD155" s="491"/>
      <c r="AE155" s="491"/>
    </row>
    <row r="156" spans="1:31" s="1566" customFormat="1" ht="11.25" customHeight="1">
      <c r="A156" s="903"/>
      <c r="B156" s="1561"/>
      <c r="C156" s="1561"/>
      <c r="D156" s="272"/>
      <c r="K156" s="1070"/>
      <c r="L156" s="1561"/>
      <c r="M156" s="1561"/>
      <c r="N156" s="1070"/>
      <c r="O156" s="1070"/>
      <c r="P156" s="1070"/>
      <c r="Q156" s="1070"/>
      <c r="R156" s="1561"/>
      <c r="S156" s="1070"/>
      <c r="T156" s="1070"/>
      <c r="U156" s="469"/>
      <c r="V156" s="1070"/>
      <c r="W156" s="1070"/>
      <c r="X156" s="1070"/>
      <c r="Y156" s="1070"/>
      <c r="Z156" s="1070"/>
      <c r="AA156" s="1557"/>
      <c r="AB156" s="491"/>
      <c r="AC156" s="491"/>
      <c r="AD156" s="491"/>
      <c r="AE156" s="491"/>
    </row>
    <row r="157" spans="1:31" s="1566" customFormat="1" ht="11.25" customHeight="1">
      <c r="A157" s="903"/>
      <c r="B157" s="1561"/>
      <c r="C157" s="1561"/>
      <c r="D157" s="272"/>
      <c r="K157" s="1070"/>
      <c r="L157" s="1561"/>
      <c r="M157" s="1561"/>
      <c r="N157" s="1070"/>
      <c r="O157" s="1070"/>
      <c r="P157" s="1070"/>
      <c r="Q157" s="1070"/>
      <c r="R157" s="1561"/>
      <c r="S157" s="1070"/>
      <c r="T157" s="1070"/>
      <c r="U157" s="469"/>
      <c r="V157" s="1070"/>
      <c r="W157" s="1070"/>
      <c r="X157" s="1070"/>
      <c r="Y157" s="1070"/>
      <c r="Z157" s="1070"/>
      <c r="AA157" s="1557"/>
      <c r="AB157" s="491"/>
      <c r="AC157" s="491"/>
      <c r="AD157" s="491"/>
      <c r="AE157" s="491"/>
    </row>
    <row r="158" spans="1:31" s="1566" customFormat="1" ht="11.25" customHeight="1">
      <c r="A158" s="903"/>
      <c r="B158" s="1561"/>
      <c r="C158" s="1561"/>
      <c r="D158" s="272"/>
      <c r="K158" s="1070"/>
      <c r="L158" s="1561"/>
      <c r="M158" s="1561"/>
      <c r="N158" s="1070"/>
      <c r="O158" s="1070"/>
      <c r="P158" s="1070"/>
      <c r="Q158" s="1070"/>
      <c r="R158" s="1561"/>
      <c r="S158" s="1070"/>
      <c r="T158" s="1070"/>
      <c r="U158" s="469"/>
      <c r="V158" s="1070"/>
      <c r="W158" s="1070"/>
      <c r="X158" s="1070"/>
      <c r="Y158" s="1070"/>
      <c r="Z158" s="1070"/>
      <c r="AA158" s="1557"/>
      <c r="AB158" s="491"/>
      <c r="AC158" s="491"/>
      <c r="AD158" s="491"/>
      <c r="AE158" s="491"/>
    </row>
    <row r="159" spans="1:31" s="1566" customFormat="1" ht="11.25" customHeight="1">
      <c r="A159" s="903"/>
      <c r="B159" s="1561"/>
      <c r="C159" s="1561"/>
      <c r="D159" s="272"/>
      <c r="K159" s="1070"/>
      <c r="L159" s="1561"/>
      <c r="M159" s="1561"/>
      <c r="N159" s="1070"/>
      <c r="O159" s="1070"/>
      <c r="P159" s="1070"/>
      <c r="Q159" s="1070"/>
      <c r="R159" s="1561"/>
      <c r="S159" s="1070"/>
      <c r="T159" s="1070"/>
      <c r="U159" s="469"/>
      <c r="V159" s="1070"/>
      <c r="W159" s="1070"/>
      <c r="X159" s="1070"/>
      <c r="Y159" s="1070"/>
      <c r="Z159" s="1070"/>
      <c r="AA159" s="1557"/>
      <c r="AB159" s="491"/>
      <c r="AC159" s="491"/>
      <c r="AD159" s="491"/>
      <c r="AE159" s="491"/>
    </row>
    <row r="160" spans="1:31" s="1566" customFormat="1" ht="11.25" customHeight="1">
      <c r="A160" s="903"/>
      <c r="B160" s="1561"/>
      <c r="C160" s="1561"/>
      <c r="D160" s="272"/>
      <c r="K160" s="1070"/>
      <c r="L160" s="1561"/>
      <c r="M160" s="1561"/>
      <c r="N160" s="1070"/>
      <c r="O160" s="1070"/>
      <c r="P160" s="1070"/>
      <c r="Q160" s="1070"/>
      <c r="R160" s="1561"/>
      <c r="S160" s="1070"/>
      <c r="T160" s="1070"/>
      <c r="U160" s="469"/>
      <c r="V160" s="1070"/>
      <c r="W160" s="1070"/>
      <c r="X160" s="1070"/>
      <c r="Y160" s="1070"/>
      <c r="Z160" s="1070"/>
      <c r="AA160" s="1557"/>
      <c r="AB160" s="491"/>
      <c r="AC160" s="491"/>
      <c r="AD160" s="491"/>
      <c r="AE160" s="491"/>
    </row>
    <row r="161" spans="1:31" s="1566" customFormat="1" ht="11.25" customHeight="1">
      <c r="A161" s="903"/>
      <c r="B161" s="1561"/>
      <c r="C161" s="1561"/>
      <c r="D161" s="272"/>
      <c r="K161" s="1070"/>
      <c r="L161" s="1561"/>
      <c r="M161" s="1561"/>
      <c r="N161" s="1070"/>
      <c r="O161" s="1070"/>
      <c r="P161" s="1070"/>
      <c r="Q161" s="1070"/>
      <c r="R161" s="1561"/>
      <c r="S161" s="1070"/>
      <c r="T161" s="1070"/>
      <c r="U161" s="469"/>
      <c r="V161" s="1070"/>
      <c r="W161" s="1070"/>
      <c r="X161" s="1070"/>
      <c r="Y161" s="1070"/>
      <c r="Z161" s="1070"/>
      <c r="AA161" s="1557"/>
      <c r="AB161" s="491"/>
      <c r="AC161" s="491"/>
      <c r="AD161" s="491"/>
      <c r="AE161" s="491"/>
    </row>
    <row r="162" spans="1:31" s="1566" customFormat="1" ht="11.25" customHeight="1">
      <c r="A162" s="903"/>
      <c r="B162" s="1561"/>
      <c r="C162" s="1561"/>
      <c r="D162" s="272"/>
      <c r="K162" s="1070"/>
      <c r="L162" s="1561"/>
      <c r="M162" s="1561"/>
      <c r="N162" s="1070"/>
      <c r="O162" s="1070"/>
      <c r="P162" s="1070"/>
      <c r="Q162" s="1070"/>
      <c r="R162" s="1561"/>
      <c r="S162" s="1070"/>
      <c r="T162" s="1070"/>
      <c r="U162" s="469"/>
      <c r="V162" s="1070"/>
      <c r="W162" s="1070"/>
      <c r="X162" s="1070"/>
      <c r="Y162" s="1070"/>
      <c r="Z162" s="1070"/>
      <c r="AA162" s="1557"/>
      <c r="AB162" s="491"/>
      <c r="AC162" s="491"/>
      <c r="AD162" s="491"/>
      <c r="AE162" s="491"/>
    </row>
    <row r="163" spans="1:31" s="1566" customFormat="1" ht="11.25" customHeight="1">
      <c r="A163" s="903"/>
      <c r="B163" s="1561"/>
      <c r="C163" s="1561"/>
      <c r="D163" s="272"/>
      <c r="K163" s="1070"/>
      <c r="L163" s="1561"/>
      <c r="M163" s="1561"/>
      <c r="N163" s="1070"/>
      <c r="O163" s="1070"/>
      <c r="P163" s="1070"/>
      <c r="Q163" s="1070"/>
      <c r="R163" s="1561"/>
      <c r="S163" s="1070"/>
      <c r="T163" s="1070"/>
      <c r="U163" s="469"/>
      <c r="V163" s="1070"/>
      <c r="W163" s="1070"/>
      <c r="X163" s="1070"/>
      <c r="Y163" s="1070"/>
      <c r="Z163" s="1070"/>
      <c r="AA163" s="1557"/>
      <c r="AB163" s="491"/>
      <c r="AC163" s="491"/>
      <c r="AD163" s="491"/>
      <c r="AE163" s="491"/>
    </row>
    <row r="164" spans="1:31" s="1566" customFormat="1" ht="11.25" customHeight="1">
      <c r="A164" s="903"/>
      <c r="B164" s="1561"/>
      <c r="C164" s="1561"/>
      <c r="D164" s="272"/>
      <c r="K164" s="1070"/>
      <c r="L164" s="1561"/>
      <c r="M164" s="1561"/>
      <c r="N164" s="1070"/>
      <c r="O164" s="1070"/>
      <c r="P164" s="1070"/>
      <c r="Q164" s="1070"/>
      <c r="R164" s="1561"/>
      <c r="S164" s="1070"/>
      <c r="T164" s="1070"/>
      <c r="U164" s="469"/>
      <c r="V164" s="1070"/>
      <c r="W164" s="1070"/>
      <c r="X164" s="1070"/>
      <c r="Y164" s="1070"/>
      <c r="Z164" s="1070"/>
      <c r="AA164" s="1557"/>
      <c r="AB164" s="491"/>
      <c r="AC164" s="491"/>
      <c r="AD164" s="491"/>
      <c r="AE164" s="491"/>
    </row>
    <row r="165" spans="1:31" s="1566" customFormat="1" ht="11.25" customHeight="1">
      <c r="A165" s="903"/>
      <c r="B165" s="1561"/>
      <c r="C165" s="1561"/>
      <c r="D165" s="272"/>
      <c r="K165" s="1070"/>
      <c r="L165" s="1561"/>
      <c r="M165" s="1561"/>
      <c r="N165" s="1070"/>
      <c r="O165" s="1070"/>
      <c r="P165" s="1070"/>
      <c r="Q165" s="1070"/>
      <c r="R165" s="1561"/>
      <c r="S165" s="1070"/>
      <c r="T165" s="1070"/>
      <c r="U165" s="469"/>
      <c r="V165" s="1070"/>
      <c r="W165" s="1070"/>
      <c r="X165" s="1070"/>
      <c r="Y165" s="1070"/>
      <c r="Z165" s="1070"/>
      <c r="AA165" s="1557"/>
      <c r="AB165" s="491"/>
      <c r="AC165" s="491"/>
      <c r="AD165" s="491"/>
      <c r="AE165" s="491"/>
    </row>
    <row r="166" spans="1:31" s="1566" customFormat="1" ht="11.25" customHeight="1">
      <c r="A166" s="903"/>
      <c r="B166" s="1561"/>
      <c r="C166" s="1561"/>
      <c r="D166" s="272"/>
      <c r="K166" s="1070"/>
      <c r="L166" s="1561"/>
      <c r="M166" s="1561"/>
      <c r="N166" s="1070"/>
      <c r="O166" s="1070"/>
      <c r="P166" s="1070"/>
      <c r="Q166" s="1070"/>
      <c r="R166" s="1561"/>
      <c r="S166" s="1070"/>
      <c r="T166" s="1070"/>
      <c r="U166" s="469"/>
      <c r="V166" s="1070"/>
      <c r="W166" s="1070"/>
      <c r="X166" s="1070"/>
      <c r="Y166" s="1070"/>
      <c r="Z166" s="1070"/>
      <c r="AA166" s="1557"/>
      <c r="AB166" s="491"/>
      <c r="AC166" s="491"/>
      <c r="AD166" s="491"/>
      <c r="AE166" s="491"/>
    </row>
    <row r="167" spans="1:31" s="1566" customFormat="1" ht="11.25" customHeight="1">
      <c r="A167" s="903"/>
      <c r="B167" s="1561"/>
      <c r="C167" s="1561"/>
      <c r="D167" s="272"/>
      <c r="K167" s="1070"/>
      <c r="L167" s="1561"/>
      <c r="M167" s="1561"/>
      <c r="N167" s="1070"/>
      <c r="O167" s="1070"/>
      <c r="P167" s="1070"/>
      <c r="Q167" s="1070"/>
      <c r="R167" s="1561"/>
      <c r="S167" s="1070"/>
      <c r="T167" s="1070"/>
      <c r="U167" s="469"/>
      <c r="V167" s="1070"/>
      <c r="W167" s="1070"/>
      <c r="X167" s="1070"/>
      <c r="Y167" s="1070"/>
      <c r="Z167" s="1070"/>
      <c r="AA167" s="1557"/>
      <c r="AB167" s="491"/>
      <c r="AC167" s="491"/>
      <c r="AD167" s="491"/>
      <c r="AE167" s="491"/>
    </row>
    <row r="168" spans="1:31" s="1566" customFormat="1" ht="11.25" customHeight="1">
      <c r="A168" s="903"/>
      <c r="B168" s="1561"/>
      <c r="C168" s="1561"/>
      <c r="D168" s="272"/>
      <c r="K168" s="1070"/>
      <c r="L168" s="1561"/>
      <c r="M168" s="1561"/>
      <c r="N168" s="1070"/>
      <c r="O168" s="1070"/>
      <c r="P168" s="1070"/>
      <c r="Q168" s="1070"/>
      <c r="R168" s="1561"/>
      <c r="S168" s="1070"/>
      <c r="T168" s="1070"/>
      <c r="U168" s="469"/>
      <c r="V168" s="1070"/>
      <c r="W168" s="1070"/>
      <c r="X168" s="1070"/>
      <c r="Y168" s="1070"/>
      <c r="Z168" s="1070"/>
      <c r="AA168" s="1557"/>
      <c r="AB168" s="491"/>
      <c r="AC168" s="491"/>
      <c r="AD168" s="491"/>
      <c r="AE168" s="491"/>
    </row>
    <row r="169" spans="1:31" s="1566" customFormat="1" ht="11.25" customHeight="1">
      <c r="A169" s="903"/>
      <c r="B169" s="1561"/>
      <c r="C169" s="1561"/>
      <c r="D169" s="272"/>
      <c r="K169" s="1070"/>
      <c r="L169" s="1561"/>
      <c r="M169" s="1561"/>
      <c r="N169" s="1070"/>
      <c r="O169" s="1070"/>
      <c r="P169" s="1070"/>
      <c r="Q169" s="1070"/>
      <c r="R169" s="1561"/>
      <c r="S169" s="1070"/>
      <c r="T169" s="1070"/>
      <c r="U169" s="469"/>
      <c r="V169" s="1070"/>
      <c r="W169" s="1070"/>
      <c r="X169" s="1070"/>
      <c r="Y169" s="1070"/>
      <c r="Z169" s="1070"/>
      <c r="AA169" s="1557"/>
      <c r="AB169" s="491"/>
      <c r="AC169" s="491"/>
      <c r="AD169" s="491"/>
      <c r="AE169" s="491"/>
    </row>
    <row r="170" spans="1:31" s="1566" customFormat="1" ht="11.25" customHeight="1">
      <c r="A170" s="903"/>
      <c r="B170" s="1561"/>
      <c r="C170" s="1561"/>
      <c r="D170" s="272"/>
      <c r="K170" s="1070"/>
      <c r="L170" s="1561"/>
      <c r="M170" s="1561"/>
      <c r="N170" s="1070"/>
      <c r="O170" s="1070"/>
      <c r="P170" s="1070"/>
      <c r="Q170" s="1070"/>
      <c r="R170" s="1561"/>
      <c r="S170" s="1070"/>
      <c r="T170" s="1070"/>
      <c r="U170" s="469"/>
      <c r="V170" s="1070"/>
      <c r="W170" s="1070"/>
      <c r="X170" s="1070"/>
      <c r="Y170" s="1070"/>
      <c r="Z170" s="1070"/>
      <c r="AA170" s="1557"/>
      <c r="AB170" s="491"/>
      <c r="AC170" s="491"/>
      <c r="AD170" s="491"/>
      <c r="AE170" s="491"/>
    </row>
    <row r="171" spans="1:31" s="1566" customFormat="1" ht="11.25" customHeight="1">
      <c r="A171" s="903"/>
      <c r="B171" s="1561"/>
      <c r="C171" s="1561"/>
      <c r="D171" s="272"/>
      <c r="K171" s="1070"/>
      <c r="L171" s="1561"/>
      <c r="M171" s="1561"/>
      <c r="N171" s="1070"/>
      <c r="O171" s="1070"/>
      <c r="P171" s="1070"/>
      <c r="Q171" s="1070"/>
      <c r="R171" s="1561"/>
      <c r="S171" s="1070"/>
      <c r="T171" s="1070"/>
      <c r="U171" s="469"/>
      <c r="V171" s="1070"/>
      <c r="W171" s="1070"/>
      <c r="X171" s="1070"/>
      <c r="Y171" s="1070"/>
      <c r="Z171" s="1070"/>
      <c r="AA171" s="1557"/>
      <c r="AB171" s="491"/>
      <c r="AC171" s="491"/>
      <c r="AD171" s="491"/>
      <c r="AE171" s="491"/>
    </row>
    <row r="172" spans="1:31" s="1566" customFormat="1" ht="11.25" customHeight="1">
      <c r="A172" s="903"/>
      <c r="B172" s="1561"/>
      <c r="C172" s="1561"/>
      <c r="D172" s="272"/>
      <c r="K172" s="1070"/>
      <c r="L172" s="1561"/>
      <c r="M172" s="1561"/>
      <c r="N172" s="1070"/>
      <c r="O172" s="1070"/>
      <c r="P172" s="1070"/>
      <c r="Q172" s="1070"/>
      <c r="R172" s="1561"/>
      <c r="S172" s="1070"/>
      <c r="T172" s="1070"/>
      <c r="U172" s="469"/>
      <c r="V172" s="1070"/>
      <c r="W172" s="1070"/>
      <c r="X172" s="1070"/>
      <c r="Y172" s="1070"/>
      <c r="Z172" s="1070"/>
      <c r="AA172" s="1557"/>
      <c r="AB172" s="491"/>
      <c r="AC172" s="491"/>
      <c r="AD172" s="491"/>
      <c r="AE172" s="491"/>
    </row>
    <row r="173" spans="1:31" s="1566" customFormat="1" ht="11.25" customHeight="1">
      <c r="A173" s="903"/>
      <c r="B173" s="1561"/>
      <c r="C173" s="1561"/>
      <c r="D173" s="272"/>
      <c r="K173" s="1070"/>
      <c r="L173" s="1561"/>
      <c r="M173" s="1561"/>
      <c r="N173" s="1070"/>
      <c r="O173" s="1070"/>
      <c r="P173" s="1070"/>
      <c r="Q173" s="1070"/>
      <c r="R173" s="1561"/>
      <c r="S173" s="1070"/>
      <c r="T173" s="1070"/>
      <c r="U173" s="469"/>
      <c r="V173" s="1070"/>
      <c r="W173" s="1070"/>
      <c r="X173" s="1070"/>
      <c r="Y173" s="1070"/>
      <c r="Z173" s="1070"/>
      <c r="AA173" s="1557"/>
      <c r="AB173" s="491"/>
      <c r="AC173" s="491"/>
      <c r="AD173" s="491"/>
      <c r="AE173" s="491"/>
    </row>
    <row r="174" spans="1:31" s="1566" customFormat="1" ht="11.25" customHeight="1">
      <c r="A174" s="903"/>
      <c r="B174" s="1561"/>
      <c r="C174" s="1561"/>
      <c r="D174" s="272"/>
      <c r="K174" s="1070"/>
      <c r="L174" s="1561"/>
      <c r="M174" s="1561"/>
      <c r="N174" s="1070"/>
      <c r="O174" s="1070"/>
      <c r="P174" s="1070"/>
      <c r="Q174" s="1070"/>
      <c r="R174" s="1561"/>
      <c r="S174" s="1070"/>
      <c r="T174" s="1070"/>
      <c r="U174" s="469"/>
      <c r="V174" s="1070"/>
      <c r="W174" s="1070"/>
      <c r="X174" s="1070"/>
      <c r="Y174" s="1070"/>
      <c r="Z174" s="1070"/>
      <c r="AA174" s="1557"/>
      <c r="AB174" s="491"/>
      <c r="AC174" s="491"/>
      <c r="AD174" s="491"/>
      <c r="AE174" s="491"/>
    </row>
    <row r="175" spans="1:31" s="1566" customFormat="1" ht="11.25" customHeight="1">
      <c r="A175" s="903"/>
      <c r="B175" s="1561"/>
      <c r="C175" s="1561"/>
      <c r="D175" s="272"/>
      <c r="K175" s="1070"/>
      <c r="L175" s="1561"/>
      <c r="M175" s="1561"/>
      <c r="N175" s="1070"/>
      <c r="O175" s="1070"/>
      <c r="P175" s="1070"/>
      <c r="Q175" s="1070"/>
      <c r="R175" s="1561"/>
      <c r="S175" s="1070"/>
      <c r="T175" s="1070"/>
      <c r="U175" s="469"/>
      <c r="V175" s="1070"/>
      <c r="W175" s="1070"/>
      <c r="X175" s="1070"/>
      <c r="Y175" s="1070"/>
      <c r="Z175" s="1070"/>
      <c r="AA175" s="1557"/>
      <c r="AB175" s="491"/>
      <c r="AC175" s="491"/>
      <c r="AD175" s="491"/>
      <c r="AE175" s="491"/>
    </row>
    <row r="176" spans="1:31" s="1566" customFormat="1" ht="11.25" customHeight="1">
      <c r="A176" s="903"/>
      <c r="B176" s="1561"/>
      <c r="C176" s="1561"/>
      <c r="D176" s="272"/>
      <c r="K176" s="1070"/>
      <c r="L176" s="1561"/>
      <c r="M176" s="1561"/>
      <c r="N176" s="1070"/>
      <c r="O176" s="1070"/>
      <c r="P176" s="1070"/>
      <c r="Q176" s="1070"/>
      <c r="R176" s="1561"/>
      <c r="S176" s="1070"/>
      <c r="T176" s="1070"/>
      <c r="U176" s="469"/>
      <c r="V176" s="1070"/>
      <c r="W176" s="1070"/>
      <c r="X176" s="1070"/>
      <c r="Y176" s="1070"/>
      <c r="Z176" s="1070"/>
      <c r="AA176" s="1557"/>
      <c r="AB176" s="491"/>
      <c r="AC176" s="491"/>
      <c r="AD176" s="491"/>
      <c r="AE176" s="491"/>
    </row>
    <row r="177" spans="1:31" s="1566" customFormat="1" ht="11.25" customHeight="1">
      <c r="A177" s="903"/>
      <c r="B177" s="1561"/>
      <c r="C177" s="1561"/>
      <c r="D177" s="272"/>
      <c r="K177" s="1070"/>
      <c r="L177" s="1561"/>
      <c r="M177" s="1561"/>
      <c r="N177" s="1070"/>
      <c r="O177" s="1070"/>
      <c r="P177" s="1070"/>
      <c r="Q177" s="1070"/>
      <c r="R177" s="1561"/>
      <c r="S177" s="1070"/>
      <c r="T177" s="1070"/>
      <c r="U177" s="469"/>
      <c r="V177" s="1070"/>
      <c r="W177" s="1070"/>
      <c r="X177" s="1070"/>
      <c r="Y177" s="1070"/>
      <c r="Z177" s="1070"/>
      <c r="AA177" s="1557"/>
      <c r="AB177" s="491"/>
      <c r="AC177" s="491"/>
      <c r="AD177" s="491"/>
      <c r="AE177" s="491"/>
    </row>
    <row r="178" spans="1:31" s="1566" customFormat="1" ht="11.25" customHeight="1">
      <c r="A178" s="903"/>
      <c r="B178" s="1561"/>
      <c r="C178" s="1561"/>
      <c r="D178" s="272"/>
      <c r="K178" s="1070"/>
      <c r="L178" s="1561"/>
      <c r="M178" s="1561"/>
      <c r="N178" s="1070"/>
      <c r="O178" s="1070"/>
      <c r="P178" s="1070"/>
      <c r="Q178" s="1070"/>
      <c r="R178" s="1561"/>
      <c r="S178" s="1070"/>
      <c r="T178" s="1070"/>
      <c r="U178" s="469"/>
      <c r="V178" s="1070"/>
      <c r="W178" s="1070"/>
      <c r="X178" s="1070"/>
      <c r="Y178" s="1070"/>
      <c r="Z178" s="1070"/>
      <c r="AA178" s="1557"/>
      <c r="AB178" s="491"/>
      <c r="AC178" s="491"/>
      <c r="AD178" s="491"/>
      <c r="AE178" s="491"/>
    </row>
    <row r="179" spans="1:31" s="1566" customFormat="1" ht="11.25" customHeight="1">
      <c r="A179" s="903"/>
      <c r="B179" s="1561"/>
      <c r="C179" s="1561"/>
      <c r="D179" s="272"/>
      <c r="K179" s="1070"/>
      <c r="L179" s="1561"/>
      <c r="M179" s="1561"/>
      <c r="N179" s="1070"/>
      <c r="O179" s="1070"/>
      <c r="P179" s="1070"/>
      <c r="Q179" s="1070"/>
      <c r="R179" s="1561"/>
      <c r="S179" s="1070"/>
      <c r="T179" s="1070"/>
      <c r="U179" s="469"/>
      <c r="V179" s="1070"/>
      <c r="W179" s="1070"/>
      <c r="X179" s="1070"/>
      <c r="Y179" s="1070"/>
      <c r="Z179" s="1070"/>
      <c r="AA179" s="1557"/>
      <c r="AB179" s="491"/>
      <c r="AC179" s="491"/>
      <c r="AD179" s="491"/>
      <c r="AE179" s="491"/>
    </row>
    <row r="180" spans="1:31" s="1566" customFormat="1" ht="11.25" customHeight="1">
      <c r="A180" s="903"/>
      <c r="B180" s="1561"/>
      <c r="C180" s="1561"/>
      <c r="D180" s="272"/>
      <c r="K180" s="1070"/>
      <c r="L180" s="1561"/>
      <c r="M180" s="1561"/>
      <c r="N180" s="1070"/>
      <c r="O180" s="1070"/>
      <c r="P180" s="1070"/>
      <c r="Q180" s="1070"/>
      <c r="R180" s="1561"/>
      <c r="S180" s="1070"/>
      <c r="T180" s="1070"/>
      <c r="U180" s="469"/>
      <c r="V180" s="1070"/>
      <c r="W180" s="1070"/>
      <c r="X180" s="1070"/>
      <c r="Y180" s="1070"/>
      <c r="Z180" s="1070"/>
      <c r="AA180" s="1557"/>
      <c r="AB180" s="491"/>
      <c r="AC180" s="491"/>
      <c r="AD180" s="491"/>
      <c r="AE180" s="491"/>
    </row>
    <row r="181" spans="1:31" s="1566" customFormat="1" ht="11.25" customHeight="1">
      <c r="A181" s="903"/>
      <c r="B181" s="1561"/>
      <c r="C181" s="1561"/>
      <c r="D181" s="272"/>
      <c r="K181" s="1070"/>
      <c r="L181" s="1561"/>
      <c r="M181" s="1561"/>
      <c r="N181" s="1070"/>
      <c r="O181" s="1070"/>
      <c r="P181" s="1070"/>
      <c r="Q181" s="1070"/>
      <c r="R181" s="1561"/>
      <c r="S181" s="1070"/>
      <c r="T181" s="1070"/>
      <c r="U181" s="469"/>
      <c r="V181" s="1070"/>
      <c r="W181" s="1070"/>
      <c r="X181" s="1070"/>
      <c r="Y181" s="1070"/>
      <c r="Z181" s="1070"/>
      <c r="AA181" s="1557"/>
      <c r="AB181" s="491"/>
      <c r="AC181" s="491"/>
      <c r="AD181" s="491"/>
      <c r="AE181" s="491"/>
    </row>
    <row r="182" spans="1:31" s="1566" customFormat="1" ht="11.25" customHeight="1">
      <c r="A182" s="903"/>
      <c r="B182" s="1561"/>
      <c r="C182" s="1561"/>
      <c r="D182" s="272"/>
      <c r="K182" s="1070"/>
      <c r="L182" s="1561"/>
      <c r="M182" s="1561"/>
      <c r="N182" s="1070"/>
      <c r="O182" s="1070"/>
      <c r="P182" s="1070"/>
      <c r="Q182" s="1070"/>
      <c r="R182" s="1561"/>
      <c r="S182" s="1070"/>
      <c r="T182" s="1070"/>
      <c r="U182" s="469"/>
      <c r="V182" s="1070"/>
      <c r="W182" s="1070"/>
      <c r="X182" s="1070"/>
      <c r="Y182" s="1070"/>
      <c r="Z182" s="1070"/>
      <c r="AA182" s="1557"/>
      <c r="AB182" s="491"/>
      <c r="AC182" s="491"/>
      <c r="AD182" s="491"/>
      <c r="AE182" s="491"/>
    </row>
    <row r="183" spans="1:31" s="1566" customFormat="1" ht="11.25" customHeight="1">
      <c r="A183" s="903"/>
      <c r="B183" s="1561"/>
      <c r="C183" s="1561"/>
      <c r="D183" s="272"/>
      <c r="K183" s="1070"/>
      <c r="L183" s="1561"/>
      <c r="M183" s="1561"/>
      <c r="N183" s="1070"/>
      <c r="O183" s="1070"/>
      <c r="P183" s="1070"/>
      <c r="Q183" s="1070"/>
      <c r="R183" s="1561"/>
      <c r="S183" s="1070"/>
      <c r="T183" s="1070"/>
      <c r="U183" s="469"/>
      <c r="V183" s="1070"/>
      <c r="W183" s="1070"/>
      <c r="X183" s="1070"/>
      <c r="Y183" s="1070"/>
      <c r="Z183" s="1070"/>
      <c r="AA183" s="1557"/>
      <c r="AB183" s="491"/>
      <c r="AC183" s="491"/>
      <c r="AD183" s="491"/>
      <c r="AE183" s="491"/>
    </row>
    <row r="184" spans="1:31" s="1566" customFormat="1" ht="11.25" customHeight="1">
      <c r="A184" s="903"/>
      <c r="B184" s="1561"/>
      <c r="C184" s="1561"/>
      <c r="D184" s="272"/>
      <c r="K184" s="1070"/>
      <c r="L184" s="1561"/>
      <c r="M184" s="1561"/>
      <c r="N184" s="1070"/>
      <c r="O184" s="1070"/>
      <c r="P184" s="1070"/>
      <c r="Q184" s="1070"/>
      <c r="R184" s="1561"/>
      <c r="S184" s="1070"/>
      <c r="T184" s="1070"/>
      <c r="U184" s="469"/>
      <c r="V184" s="1070"/>
      <c r="W184" s="1070"/>
      <c r="X184" s="1070"/>
      <c r="Y184" s="1070"/>
      <c r="Z184" s="1070"/>
      <c r="AA184" s="1557"/>
      <c r="AB184" s="491"/>
      <c r="AC184" s="491"/>
      <c r="AD184" s="491"/>
      <c r="AE184" s="491"/>
    </row>
    <row r="185" spans="1:31" s="1566" customFormat="1" ht="11.25" customHeight="1">
      <c r="A185" s="903"/>
      <c r="B185" s="1561"/>
      <c r="C185" s="1561"/>
      <c r="D185" s="272"/>
      <c r="K185" s="1070"/>
      <c r="L185" s="1561"/>
      <c r="M185" s="1561"/>
      <c r="N185" s="1070"/>
      <c r="O185" s="1070"/>
      <c r="P185" s="1070"/>
      <c r="Q185" s="1070"/>
      <c r="R185" s="1561"/>
      <c r="S185" s="1070"/>
      <c r="T185" s="1070"/>
      <c r="U185" s="469"/>
      <c r="V185" s="1070"/>
      <c r="W185" s="1070"/>
      <c r="X185" s="1070"/>
      <c r="Y185" s="1070"/>
      <c r="Z185" s="1070"/>
      <c r="AA185" s="1557"/>
      <c r="AB185" s="491"/>
      <c r="AC185" s="491"/>
      <c r="AD185" s="491"/>
      <c r="AE185" s="491"/>
    </row>
    <row r="186" spans="1:31" s="1566" customFormat="1" ht="11.25" customHeight="1">
      <c r="A186" s="903"/>
      <c r="B186" s="1561"/>
      <c r="C186" s="1561"/>
      <c r="D186" s="272"/>
      <c r="K186" s="1070"/>
      <c r="L186" s="1561"/>
      <c r="M186" s="1561"/>
      <c r="N186" s="1070"/>
      <c r="O186" s="1070"/>
      <c r="P186" s="1070"/>
      <c r="Q186" s="1070"/>
      <c r="R186" s="1561"/>
      <c r="S186" s="1070"/>
      <c r="T186" s="1070"/>
      <c r="U186" s="469"/>
      <c r="V186" s="1070"/>
      <c r="W186" s="1070"/>
      <c r="X186" s="1070"/>
      <c r="Y186" s="1070"/>
      <c r="Z186" s="1070"/>
      <c r="AA186" s="1557"/>
      <c r="AB186" s="491"/>
      <c r="AC186" s="491"/>
      <c r="AD186" s="491"/>
      <c r="AE186" s="491"/>
    </row>
    <row r="187" spans="1:31" s="1566" customFormat="1" ht="11.25" customHeight="1">
      <c r="A187" s="903"/>
      <c r="B187" s="1561"/>
      <c r="C187" s="1561"/>
      <c r="D187" s="272"/>
      <c r="K187" s="1070"/>
      <c r="L187" s="1561"/>
      <c r="M187" s="1561"/>
      <c r="N187" s="1070"/>
      <c r="O187" s="1070"/>
      <c r="P187" s="1070"/>
      <c r="Q187" s="1070"/>
      <c r="R187" s="1561"/>
      <c r="S187" s="1070"/>
      <c r="T187" s="1070"/>
      <c r="U187" s="469"/>
      <c r="V187" s="1070"/>
      <c r="W187" s="1070"/>
      <c r="X187" s="1070"/>
      <c r="Y187" s="1070"/>
      <c r="Z187" s="1070"/>
      <c r="AA187" s="1557"/>
      <c r="AB187" s="491"/>
      <c r="AC187" s="491"/>
      <c r="AD187" s="491"/>
      <c r="AE187" s="491"/>
    </row>
    <row r="188" spans="1:31" s="1566" customFormat="1" ht="11.25" customHeight="1">
      <c r="A188" s="903"/>
      <c r="B188" s="1561"/>
      <c r="C188" s="1561"/>
      <c r="D188" s="272"/>
      <c r="K188" s="1070"/>
      <c r="L188" s="1561"/>
      <c r="M188" s="1561"/>
      <c r="N188" s="1070"/>
      <c r="O188" s="1070"/>
      <c r="P188" s="1070"/>
      <c r="Q188" s="1070"/>
      <c r="R188" s="1561"/>
      <c r="S188" s="1070"/>
      <c r="T188" s="1070"/>
      <c r="U188" s="469"/>
      <c r="V188" s="1070"/>
      <c r="W188" s="1070"/>
      <c r="X188" s="1070"/>
      <c r="Y188" s="1070"/>
      <c r="Z188" s="1070"/>
      <c r="AA188" s="1557"/>
      <c r="AB188" s="491"/>
      <c r="AC188" s="491"/>
      <c r="AD188" s="491"/>
      <c r="AE188" s="491"/>
    </row>
    <row r="189" spans="1:31" s="1566" customFormat="1" ht="11.25" customHeight="1">
      <c r="A189" s="903"/>
      <c r="B189" s="1561"/>
      <c r="C189" s="1561"/>
      <c r="D189" s="272"/>
      <c r="K189" s="1070"/>
      <c r="L189" s="1561"/>
      <c r="M189" s="1561"/>
      <c r="N189" s="1070"/>
      <c r="O189" s="1070"/>
      <c r="P189" s="1070"/>
      <c r="Q189" s="1070"/>
      <c r="R189" s="1561"/>
      <c r="S189" s="1070"/>
      <c r="T189" s="1070"/>
      <c r="U189" s="469"/>
      <c r="V189" s="1070"/>
      <c r="W189" s="1070"/>
      <c r="X189" s="1070"/>
      <c r="Y189" s="1070"/>
      <c r="Z189" s="1070"/>
      <c r="AA189" s="1557"/>
      <c r="AB189" s="491"/>
      <c r="AC189" s="491"/>
      <c r="AD189" s="491"/>
      <c r="AE189" s="491"/>
    </row>
    <row r="190" spans="1:31" s="1566" customFormat="1" ht="11.25" customHeight="1">
      <c r="A190" s="903"/>
      <c r="B190" s="1561"/>
      <c r="C190" s="1561"/>
      <c r="D190" s="272"/>
      <c r="K190" s="1070"/>
      <c r="L190" s="1561"/>
      <c r="M190" s="1561"/>
      <c r="N190" s="1070"/>
      <c r="O190" s="1070"/>
      <c r="P190" s="1070"/>
      <c r="Q190" s="1070"/>
      <c r="R190" s="1561"/>
      <c r="S190" s="1070"/>
      <c r="T190" s="1070"/>
      <c r="U190" s="469"/>
      <c r="V190" s="1070"/>
      <c r="W190" s="1070"/>
      <c r="X190" s="1070"/>
      <c r="Y190" s="1070"/>
      <c r="Z190" s="1070"/>
      <c r="AA190" s="1557"/>
      <c r="AB190" s="491"/>
      <c r="AC190" s="491"/>
      <c r="AD190" s="491"/>
      <c r="AE190" s="491"/>
    </row>
    <row r="191" spans="1:31" s="1566" customFormat="1" ht="11.25" customHeight="1">
      <c r="A191" s="903"/>
      <c r="B191" s="1561"/>
      <c r="C191" s="1561"/>
      <c r="D191" s="272"/>
      <c r="K191" s="1070"/>
      <c r="L191" s="1561"/>
      <c r="M191" s="1561"/>
      <c r="N191" s="1070"/>
      <c r="O191" s="1070"/>
      <c r="P191" s="1070"/>
      <c r="Q191" s="1070"/>
      <c r="R191" s="1561"/>
      <c r="S191" s="1070"/>
      <c r="T191" s="1070"/>
      <c r="U191" s="469"/>
      <c r="V191" s="1070"/>
      <c r="W191" s="1070"/>
      <c r="X191" s="1070"/>
      <c r="Y191" s="1070"/>
      <c r="Z191" s="1070"/>
      <c r="AA191" s="1557"/>
      <c r="AB191" s="491"/>
      <c r="AC191" s="491"/>
      <c r="AD191" s="491"/>
      <c r="AE191" s="491"/>
    </row>
    <row r="192" spans="1:31" s="1566" customFormat="1" ht="11.25" customHeight="1">
      <c r="A192" s="903"/>
      <c r="B192" s="1561"/>
      <c r="C192" s="1561"/>
      <c r="D192" s="272"/>
      <c r="K192" s="1070"/>
      <c r="L192" s="1561"/>
      <c r="M192" s="1561"/>
      <c r="N192" s="1070"/>
      <c r="O192" s="1070"/>
      <c r="P192" s="1070"/>
      <c r="Q192" s="1070"/>
      <c r="R192" s="1561"/>
      <c r="S192" s="1070"/>
      <c r="T192" s="1070"/>
      <c r="U192" s="469"/>
      <c r="V192" s="1070"/>
      <c r="W192" s="1070"/>
      <c r="X192" s="1070"/>
      <c r="Y192" s="1070"/>
      <c r="Z192" s="1070"/>
      <c r="AA192" s="1557"/>
      <c r="AB192" s="491"/>
      <c r="AC192" s="491"/>
      <c r="AD192" s="491"/>
      <c r="AE192" s="491"/>
    </row>
    <row r="193" spans="1:31" s="1566" customFormat="1" ht="11.25" customHeight="1">
      <c r="A193" s="903"/>
      <c r="B193" s="1561"/>
      <c r="C193" s="1561"/>
      <c r="D193" s="272"/>
      <c r="K193" s="1070"/>
      <c r="L193" s="1561"/>
      <c r="M193" s="1561"/>
      <c r="N193" s="1070"/>
      <c r="O193" s="1070"/>
      <c r="P193" s="1070"/>
      <c r="Q193" s="1070"/>
      <c r="R193" s="1561"/>
      <c r="S193" s="1070"/>
      <c r="T193" s="1070"/>
      <c r="U193" s="469"/>
      <c r="V193" s="1070"/>
      <c r="W193" s="1070"/>
      <c r="X193" s="1070"/>
      <c r="Y193" s="1070"/>
      <c r="Z193" s="1070"/>
      <c r="AA193" s="1557"/>
      <c r="AB193" s="491"/>
      <c r="AC193" s="491"/>
      <c r="AD193" s="491"/>
      <c r="AE193" s="491"/>
    </row>
    <row r="194" spans="1:31" s="1566" customFormat="1" ht="11.25" customHeight="1">
      <c r="A194" s="903"/>
      <c r="B194" s="1561"/>
      <c r="C194" s="1561"/>
      <c r="D194" s="272"/>
      <c r="K194" s="1070"/>
      <c r="L194" s="1561"/>
      <c r="M194" s="1561"/>
      <c r="N194" s="1070"/>
      <c r="O194" s="1070"/>
      <c r="P194" s="1070"/>
      <c r="Q194" s="1070"/>
      <c r="R194" s="1561"/>
      <c r="S194" s="1070"/>
      <c r="T194" s="1070"/>
      <c r="U194" s="469"/>
      <c r="V194" s="1070"/>
      <c r="W194" s="1070"/>
      <c r="X194" s="1070"/>
      <c r="Y194" s="1070"/>
      <c r="Z194" s="1070"/>
      <c r="AA194" s="1557"/>
      <c r="AB194" s="491"/>
      <c r="AC194" s="491"/>
      <c r="AD194" s="491"/>
      <c r="AE194" s="491"/>
    </row>
    <row r="195" spans="1:31" s="1566" customFormat="1" ht="11.25" customHeight="1">
      <c r="A195" s="903"/>
      <c r="B195" s="1561"/>
      <c r="C195" s="1561"/>
      <c r="D195" s="272"/>
      <c r="K195" s="1070"/>
      <c r="L195" s="1561"/>
      <c r="M195" s="1561"/>
      <c r="N195" s="1070"/>
      <c r="O195" s="1070"/>
      <c r="P195" s="1070"/>
      <c r="Q195" s="1070"/>
      <c r="R195" s="1561"/>
      <c r="S195" s="1070"/>
      <c r="T195" s="1070"/>
      <c r="U195" s="469"/>
      <c r="V195" s="1070"/>
      <c r="W195" s="1070"/>
      <c r="X195" s="1070"/>
      <c r="Y195" s="1070"/>
      <c r="Z195" s="1070"/>
      <c r="AA195" s="1557"/>
      <c r="AB195" s="491"/>
      <c r="AC195" s="491"/>
      <c r="AD195" s="491"/>
      <c r="AE195" s="491"/>
    </row>
    <row r="199" spans="1:31" ht="11.25" customHeight="1">
      <c r="A199" s="906"/>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row>
    <row r="200" spans="1:31" ht="11.25" customHeight="1">
      <c r="A200" s="906"/>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row>
    <row r="201" spans="1:31" ht="11.25" customHeight="1">
      <c r="A201" s="906"/>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row>
    <row r="202" spans="1:31" ht="11.25" customHeight="1">
      <c r="A202" s="906"/>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row>
    <row r="203" spans="1:31" ht="11.25" customHeight="1">
      <c r="A203" s="906"/>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row>
    <row r="204" spans="1:31" ht="11.25" customHeight="1">
      <c r="A204" s="906"/>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row>
    <row r="205" spans="1:31" ht="11.25" customHeight="1">
      <c r="A205" s="906"/>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row>
    <row r="206" spans="1:31" ht="11.25" customHeight="1">
      <c r="A206" s="906"/>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row>
    <row r="207" spans="1:31" ht="11.25" customHeight="1">
      <c r="A207" s="906"/>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row>
    <row r="208" spans="1:31" ht="11.25" customHeight="1">
      <c r="A208" s="906"/>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row>
    <row r="209" spans="1:31" ht="11.25" customHeight="1">
      <c r="A209" s="906"/>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076" hidden="1" customWidth="1"/>
    <col min="2" max="2" width="3.59765625" style="1567" hidden="1" customWidth="1"/>
    <col min="3" max="3" width="3.69921875" style="1560" customWidth="1"/>
    <col min="4" max="4" width="7.69921875" style="1560" customWidth="1"/>
    <col min="5" max="5" width="69.796875" style="1560" customWidth="1"/>
    <col min="6" max="6" width="11.09765625" style="1560" customWidth="1"/>
    <col min="7" max="8" width="44" style="1560" hidden="1" customWidth="1"/>
    <col min="9" max="10" width="44" style="1560" customWidth="1"/>
    <col min="11" max="11" width="74" style="1560" customWidth="1"/>
    <col min="12" max="12" width="3.69921875" style="1560" customWidth="1"/>
    <col min="13" max="23" width="10.59765625" style="1560"/>
  </cols>
  <sheetData>
    <row r="1" spans="1:12" s="1292" customFormat="1" ht="11.25" hidden="1" customHeight="1">
      <c r="A1" s="461"/>
      <c r="B1" s="437"/>
      <c r="G1" s="347">
        <v>4</v>
      </c>
      <c r="I1" s="347">
        <v>4</v>
      </c>
      <c r="K1" s="347">
        <v>5</v>
      </c>
    </row>
    <row r="2" spans="1:12" ht="3" customHeight="1"/>
    <row r="3" spans="1:12" ht="35.25" customHeight="1">
      <c r="D3" s="1833" t="str">
        <f>KNE_NAME_FORM</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E3" s="1834"/>
      <c r="F3" s="1835"/>
    </row>
    <row r="4" spans="1:12" s="1560" customFormat="1" ht="20.25" customHeight="1">
      <c r="A4" s="867"/>
      <c r="B4" s="437"/>
      <c r="D4" s="1940" t="str">
        <f>IF(org=0,"Не определено",org)</f>
        <v>НАО "СВЕЗА Мантурово"</v>
      </c>
      <c r="E4" s="1941"/>
      <c r="F4" s="1942"/>
    </row>
    <row r="5" spans="1:12" ht="11.25" customHeight="1">
      <c r="C5" s="435"/>
      <c r="D5" s="511"/>
      <c r="E5" s="511"/>
      <c r="F5" s="511"/>
      <c r="G5" s="511"/>
      <c r="H5" s="671"/>
      <c r="I5" s="511"/>
      <c r="J5" s="671"/>
      <c r="K5" s="511"/>
    </row>
    <row r="6" spans="1:12" ht="0.75" customHeight="1">
      <c r="C6" s="435"/>
      <c r="D6" s="435"/>
      <c r="E6" s="448"/>
      <c r="F6" s="535"/>
      <c r="G6" s="938"/>
      <c r="H6" s="938"/>
      <c r="I6" s="938" t="s">
        <v>113</v>
      </c>
      <c r="J6" s="938"/>
    </row>
    <row r="7" spans="1:12" ht="11.25" customHeight="1">
      <c r="D7" s="630"/>
      <c r="E7" s="2130" t="s">
        <v>101</v>
      </c>
      <c r="F7" s="2131"/>
      <c r="G7" s="2166" t="str">
        <f>IF(G6="","",INDEX(DIFFERENTIATION_UNMERGE_VD,MATCH(G6,DIFFERENTIATION_ID_DIFF,0)))</f>
        <v/>
      </c>
      <c r="H7" s="2167"/>
      <c r="I7" s="2166">
        <f>IF(I6="","",INDEX(DIFFERENTIATION_UNMERGE_VD,MATCH(I6,DIFFERENTIATION_ID_DIFF,0)))</f>
        <v>0</v>
      </c>
      <c r="J7" s="2167"/>
      <c r="K7" s="1894"/>
      <c r="L7" s="435"/>
    </row>
    <row r="8" spans="1:12" ht="11.25" customHeight="1">
      <c r="A8" s="623"/>
      <c r="D8" s="630"/>
      <c r="E8" s="2130" t="s">
        <v>428</v>
      </c>
      <c r="F8" s="2131"/>
      <c r="G8" s="2166" t="str">
        <f>IF(G6="","",INDEX(DIFFERENTIATION_UNMERGE_AREA,MATCH(G6,DIFFERENTIATION_ID_DIFF,0)))</f>
        <v/>
      </c>
      <c r="H8" s="2167"/>
      <c r="I8" s="2166" t="str">
        <f>IF(I6="","",INDEX(DIFFERENTIATION_UNMERGE_AREA,MATCH(I6,DIFFERENTIATION_ID_DIFF,0)))</f>
        <v/>
      </c>
      <c r="J8" s="2167"/>
      <c r="K8" s="1899"/>
      <c r="L8" s="435"/>
    </row>
    <row r="9" spans="1:12" ht="11.25" customHeight="1">
      <c r="A9" s="623"/>
      <c r="D9" s="630"/>
      <c r="E9" s="2130" t="s">
        <v>429</v>
      </c>
      <c r="F9" s="2131"/>
      <c r="G9" s="2166" t="str">
        <f>IF(G6="","",INDEX(DIFFERENTIATION_UNMERGE_SYSTEM,MATCH(G6,DIFFERENTIATION_ID_DIFF,0)))</f>
        <v/>
      </c>
      <c r="H9" s="2167"/>
      <c r="I9" s="2166" t="str">
        <f>IF(I6="","",INDEX(DIFFERENTIATION_UNMERGE_SYSTEM,MATCH(I6,DIFFERENTIATION_ID_DIFF,0)))</f>
        <v>без дифференциации</v>
      </c>
      <c r="J9" s="2167"/>
      <c r="K9" s="1899"/>
      <c r="L9" s="435"/>
    </row>
    <row r="10" spans="1:12" s="1560" customFormat="1" ht="11.25" customHeight="1">
      <c r="A10" s="937"/>
      <c r="B10" s="437"/>
      <c r="D10" s="1822" t="s">
        <v>282</v>
      </c>
      <c r="E10" s="1827"/>
      <c r="F10" s="1827"/>
      <c r="G10" s="1827"/>
      <c r="H10" s="1827"/>
      <c r="I10" s="1827"/>
      <c r="J10" s="1821"/>
      <c r="K10" s="1899"/>
      <c r="L10" s="435"/>
    </row>
    <row r="11" spans="1:12" s="1560" customFormat="1" ht="22.5" customHeight="1">
      <c r="A11" s="2041"/>
      <c r="B11" s="2041"/>
      <c r="C11" s="577"/>
      <c r="D11" s="622" t="s">
        <v>87</v>
      </c>
      <c r="E11" s="624" t="s">
        <v>1858</v>
      </c>
      <c r="F11" s="624" t="s">
        <v>1626</v>
      </c>
      <c r="G11" s="391" t="s">
        <v>285</v>
      </c>
      <c r="H11" s="391" t="s">
        <v>392</v>
      </c>
      <c r="I11" s="725" t="s">
        <v>285</v>
      </c>
      <c r="J11" s="726" t="s">
        <v>392</v>
      </c>
      <c r="K11" s="1950"/>
      <c r="L11" s="578"/>
    </row>
    <row r="12" spans="1:12" s="1567" customFormat="1" ht="10.5" customHeight="1">
      <c r="A12" s="868"/>
      <c r="D12" s="941" t="s">
        <v>105</v>
      </c>
      <c r="E12" s="941" t="s">
        <v>106</v>
      </c>
      <c r="F12" s="941" t="s">
        <v>89</v>
      </c>
      <c r="G12" s="942" t="str">
        <f>G1&amp;".1"</f>
        <v>4.1</v>
      </c>
      <c r="H12" s="942" t="str">
        <f>G1&amp;".2"</f>
        <v>4.2</v>
      </c>
      <c r="I12" s="942" t="str">
        <f>I1&amp;".1"</f>
        <v>4.1</v>
      </c>
      <c r="J12" s="942" t="str">
        <f>I1&amp;".2"</f>
        <v>4.2</v>
      </c>
      <c r="K12" s="942"/>
    </row>
    <row r="13" spans="1:12" ht="22.5" hidden="1" customHeight="1">
      <c r="A13" s="2168" t="s">
        <v>607</v>
      </c>
      <c r="D13" s="869" t="s">
        <v>105</v>
      </c>
      <c r="E13" s="195" t="s">
        <v>1627</v>
      </c>
      <c r="F13" s="580" t="s">
        <v>1628</v>
      </c>
      <c r="G13" s="482"/>
      <c r="H13" s="581"/>
      <c r="I13" s="482"/>
      <c r="J13" s="581"/>
      <c r="K13" s="204" t="s">
        <v>1629</v>
      </c>
      <c r="L13" s="639"/>
    </row>
    <row r="14" spans="1:12" ht="22.5" hidden="1" customHeight="1">
      <c r="A14" s="2168"/>
      <c r="D14" s="464" t="s">
        <v>106</v>
      </c>
      <c r="E14" s="195" t="s">
        <v>1630</v>
      </c>
      <c r="F14" s="580" t="s">
        <v>1631</v>
      </c>
      <c r="G14" s="482"/>
      <c r="H14" s="582"/>
      <c r="I14" s="482"/>
      <c r="J14" s="582"/>
      <c r="K14" s="204" t="s">
        <v>1632</v>
      </c>
      <c r="L14" s="639"/>
    </row>
    <row r="15" spans="1:12" s="1560" customFormat="1" ht="78.75" hidden="1" customHeight="1">
      <c r="A15" s="2168"/>
      <c r="B15" s="437"/>
      <c r="D15" s="869" t="s">
        <v>89</v>
      </c>
      <c r="E15" s="626" t="s">
        <v>1635</v>
      </c>
      <c r="F15" s="866" t="s">
        <v>288</v>
      </c>
      <c r="G15" s="866" t="s">
        <v>288</v>
      </c>
      <c r="H15" s="33"/>
      <c r="I15" s="866" t="s">
        <v>288</v>
      </c>
      <c r="J15" s="33"/>
      <c r="K15" s="204" t="s">
        <v>1859</v>
      </c>
      <c r="L15" s="639"/>
    </row>
    <row r="16" spans="1:12" s="1560" customFormat="1" ht="22.5" hidden="1" customHeight="1">
      <c r="A16" s="2168"/>
      <c r="B16" s="437"/>
      <c r="D16" s="869" t="s">
        <v>311</v>
      </c>
      <c r="E16" s="870" t="s">
        <v>1637</v>
      </c>
      <c r="F16" s="866" t="s">
        <v>1638</v>
      </c>
      <c r="G16" s="735"/>
      <c r="H16" s="33"/>
      <c r="I16" s="735"/>
      <c r="J16" s="33"/>
      <c r="K16" s="204"/>
      <c r="L16" s="639"/>
    </row>
    <row r="17" spans="1:23" s="1560" customFormat="1" ht="22.5" hidden="1" customHeight="1">
      <c r="A17" s="2168"/>
      <c r="B17" s="437"/>
      <c r="D17" s="869" t="s">
        <v>319</v>
      </c>
      <c r="E17" s="870" t="s">
        <v>1639</v>
      </c>
      <c r="F17" s="866" t="s">
        <v>1640</v>
      </c>
      <c r="G17" s="735"/>
      <c r="H17" s="33"/>
      <c r="I17" s="735"/>
      <c r="J17" s="33"/>
      <c r="K17" s="204"/>
      <c r="L17" s="639"/>
    </row>
    <row r="18" spans="1:23" s="1560" customFormat="1" ht="33.75" hidden="1" customHeight="1">
      <c r="A18" s="2168"/>
      <c r="B18" s="437"/>
      <c r="D18" s="869" t="s">
        <v>321</v>
      </c>
      <c r="E18" s="870" t="s">
        <v>1642</v>
      </c>
      <c r="F18" s="866" t="s">
        <v>1256</v>
      </c>
      <c r="G18" s="600"/>
      <c r="H18" s="33"/>
      <c r="I18" s="600"/>
      <c r="J18" s="33"/>
      <c r="K18" s="204"/>
      <c r="L18" s="639"/>
    </row>
    <row r="19" spans="1:23" ht="101.25" hidden="1" customHeight="1">
      <c r="A19" s="2168"/>
      <c r="D19" s="869" t="s">
        <v>90</v>
      </c>
      <c r="E19" s="195" t="s">
        <v>1860</v>
      </c>
      <c r="F19" s="580" t="s">
        <v>440</v>
      </c>
      <c r="G19" s="583"/>
      <c r="H19" s="582"/>
      <c r="I19" s="871"/>
      <c r="J19" s="582"/>
      <c r="K19" s="204" t="s">
        <v>1861</v>
      </c>
      <c r="L19" s="639"/>
    </row>
    <row r="20" spans="1:23" s="1560" customFormat="1" ht="18.75" hidden="1" customHeight="1">
      <c r="A20" s="2168"/>
      <c r="C20" s="872"/>
      <c r="D20" s="869" t="s">
        <v>1477</v>
      </c>
      <c r="E20" s="870" t="s">
        <v>1862</v>
      </c>
      <c r="F20" s="866" t="s">
        <v>288</v>
      </c>
      <c r="G20" s="866" t="s">
        <v>288</v>
      </c>
      <c r="H20" s="865" t="s">
        <v>288</v>
      </c>
      <c r="I20" s="866" t="s">
        <v>288</v>
      </c>
      <c r="J20" s="865" t="s">
        <v>288</v>
      </c>
      <c r="K20" s="864"/>
      <c r="L20" s="639"/>
      <c r="W20" s="595"/>
    </row>
    <row r="21" spans="1:23" s="1560" customFormat="1" ht="33.75" hidden="1" customHeight="1">
      <c r="A21" s="2168"/>
      <c r="C21" s="872"/>
      <c r="D21" s="869" t="s">
        <v>1485</v>
      </c>
      <c r="E21" s="501" t="s">
        <v>1863</v>
      </c>
      <c r="F21" s="866" t="s">
        <v>1864</v>
      </c>
      <c r="G21" s="859"/>
      <c r="H21" s="33"/>
      <c r="I21" s="859"/>
      <c r="J21" s="33"/>
      <c r="K21" s="864"/>
      <c r="L21" s="639"/>
      <c r="W21" s="595"/>
    </row>
    <row r="22" spans="1:23" s="1560" customFormat="1" ht="33.75" hidden="1" customHeight="1">
      <c r="A22" s="2168"/>
      <c r="C22" s="872"/>
      <c r="D22" s="869" t="s">
        <v>1490</v>
      </c>
      <c r="E22" s="501" t="s">
        <v>1865</v>
      </c>
      <c r="F22" s="866" t="s">
        <v>1866</v>
      </c>
      <c r="G22" s="859"/>
      <c r="H22" s="33"/>
      <c r="I22" s="859"/>
      <c r="J22" s="33"/>
      <c r="K22" s="864"/>
      <c r="L22" s="639"/>
      <c r="W22" s="595"/>
    </row>
    <row r="23" spans="1:23" s="1560" customFormat="1" ht="22.5" hidden="1" customHeight="1">
      <c r="A23" s="2168"/>
      <c r="C23" s="872"/>
      <c r="D23" s="869" t="s">
        <v>1494</v>
      </c>
      <c r="E23" s="870" t="s">
        <v>1867</v>
      </c>
      <c r="F23" s="866" t="s">
        <v>288</v>
      </c>
      <c r="G23" s="866" t="s">
        <v>288</v>
      </c>
      <c r="H23" s="865" t="s">
        <v>288</v>
      </c>
      <c r="I23" s="866" t="s">
        <v>288</v>
      </c>
      <c r="J23" s="865" t="s">
        <v>288</v>
      </c>
      <c r="K23" s="864"/>
      <c r="L23" s="639"/>
      <c r="W23" s="595"/>
    </row>
    <row r="24" spans="1:23" s="1560" customFormat="1" ht="22.5" hidden="1" customHeight="1">
      <c r="A24" s="2168"/>
      <c r="C24" s="872"/>
      <c r="D24" s="869" t="s">
        <v>1868</v>
      </c>
      <c r="E24" s="501" t="s">
        <v>1869</v>
      </c>
      <c r="F24" s="866" t="s">
        <v>1870</v>
      </c>
      <c r="G24" s="859"/>
      <c r="H24" s="606"/>
      <c r="I24" s="859"/>
      <c r="J24" s="606"/>
      <c r="K24" s="864"/>
      <c r="L24" s="639"/>
      <c r="W24" s="595"/>
    </row>
    <row r="25" spans="1:23" s="1560" customFormat="1" ht="22.5" hidden="1" customHeight="1">
      <c r="A25" s="2168"/>
      <c r="C25" s="872"/>
      <c r="D25" s="869" t="s">
        <v>1871</v>
      </c>
      <c r="E25" s="501" t="s">
        <v>1872</v>
      </c>
      <c r="F25" s="866" t="s">
        <v>288</v>
      </c>
      <c r="G25" s="866" t="s">
        <v>288</v>
      </c>
      <c r="H25" s="865" t="s">
        <v>288</v>
      </c>
      <c r="I25" s="866" t="s">
        <v>288</v>
      </c>
      <c r="J25" s="865" t="s">
        <v>288</v>
      </c>
      <c r="K25" s="864"/>
      <c r="L25" s="639"/>
      <c r="W25" s="595"/>
    </row>
    <row r="26" spans="1:23" s="1560" customFormat="1" ht="18.75" hidden="1" customHeight="1">
      <c r="A26" s="2168"/>
      <c r="C26" s="872"/>
      <c r="D26" s="869" t="s">
        <v>1873</v>
      </c>
      <c r="E26" s="478" t="s">
        <v>1874</v>
      </c>
      <c r="F26" s="866" t="s">
        <v>1875</v>
      </c>
      <c r="G26" s="600"/>
      <c r="H26" s="606"/>
      <c r="I26" s="600"/>
      <c r="J26" s="606"/>
      <c r="K26" s="864"/>
      <c r="L26" s="639"/>
      <c r="W26" s="595"/>
    </row>
    <row r="27" spans="1:23" s="1560" customFormat="1" ht="18.75" hidden="1" customHeight="1">
      <c r="A27" s="2168"/>
      <c r="C27" s="872"/>
      <c r="D27" s="869" t="s">
        <v>1876</v>
      </c>
      <c r="E27" s="478" t="s">
        <v>1877</v>
      </c>
      <c r="F27" s="866" t="s">
        <v>1878</v>
      </c>
      <c r="G27" s="600"/>
      <c r="H27" s="606"/>
      <c r="I27" s="600"/>
      <c r="J27" s="606"/>
      <c r="K27" s="864"/>
      <c r="L27" s="639"/>
      <c r="W27" s="595"/>
    </row>
    <row r="28" spans="1:23" s="1560" customFormat="1" ht="18.75" hidden="1" customHeight="1">
      <c r="A28" s="2168"/>
      <c r="C28" s="872"/>
      <c r="D28" s="869" t="s">
        <v>1879</v>
      </c>
      <c r="E28" s="501" t="s">
        <v>1880</v>
      </c>
      <c r="F28" s="866" t="s">
        <v>288</v>
      </c>
      <c r="G28" s="866" t="s">
        <v>288</v>
      </c>
      <c r="H28" s="865" t="s">
        <v>288</v>
      </c>
      <c r="I28" s="866" t="s">
        <v>288</v>
      </c>
      <c r="J28" s="865" t="s">
        <v>288</v>
      </c>
      <c r="K28" s="864"/>
      <c r="L28" s="639"/>
      <c r="W28" s="595"/>
    </row>
    <row r="29" spans="1:23" s="1560" customFormat="1" ht="18.75" hidden="1" customHeight="1">
      <c r="A29" s="2168"/>
      <c r="C29" s="872"/>
      <c r="D29" s="869" t="s">
        <v>1881</v>
      </c>
      <c r="E29" s="478" t="s">
        <v>1874</v>
      </c>
      <c r="F29" s="866" t="s">
        <v>1882</v>
      </c>
      <c r="G29" s="600"/>
      <c r="H29" s="606"/>
      <c r="I29" s="600"/>
      <c r="J29" s="606"/>
      <c r="K29" s="864"/>
      <c r="L29" s="639"/>
      <c r="W29" s="595"/>
    </row>
    <row r="30" spans="1:23" s="1560" customFormat="1" ht="18.75" hidden="1" customHeight="1">
      <c r="A30" s="2168"/>
      <c r="C30" s="872"/>
      <c r="D30" s="869" t="s">
        <v>1883</v>
      </c>
      <c r="E30" s="478" t="s">
        <v>1884</v>
      </c>
      <c r="F30" s="866" t="s">
        <v>1885</v>
      </c>
      <c r="G30" s="600"/>
      <c r="H30" s="606"/>
      <c r="I30" s="600"/>
      <c r="J30" s="606"/>
      <c r="K30" s="864"/>
      <c r="L30" s="639"/>
      <c r="W30" s="595"/>
    </row>
    <row r="31" spans="1:23" ht="126.75" hidden="1" customHeight="1">
      <c r="A31" s="2168"/>
      <c r="D31" s="869" t="s">
        <v>107</v>
      </c>
      <c r="E31" s="195" t="s">
        <v>1886</v>
      </c>
      <c r="F31" s="580" t="s">
        <v>1644</v>
      </c>
      <c r="G31" s="482"/>
      <c r="H31" s="582"/>
      <c r="I31" s="482"/>
      <c r="J31" s="582"/>
      <c r="K31" s="204" t="s">
        <v>1887</v>
      </c>
      <c r="L31" s="639"/>
    </row>
    <row r="32" spans="1:23" ht="56.25" hidden="1" customHeight="1">
      <c r="A32" s="2168"/>
      <c r="D32" s="869" t="s">
        <v>91</v>
      </c>
      <c r="E32" s="195" t="s">
        <v>1888</v>
      </c>
      <c r="F32" s="464" t="s">
        <v>1640</v>
      </c>
      <c r="G32" s="482"/>
      <c r="H32" s="582"/>
      <c r="I32" s="482"/>
      <c r="J32" s="582"/>
      <c r="K32" s="204" t="s">
        <v>1889</v>
      </c>
      <c r="L32" s="639"/>
    </row>
    <row r="33" spans="1:11" ht="11.25" hidden="1" customHeight="1">
      <c r="A33" s="2168"/>
      <c r="E33" s="584"/>
      <c r="F33" s="99"/>
      <c r="G33" s="99"/>
      <c r="H33" s="99"/>
      <c r="I33" s="99"/>
      <c r="J33" s="99"/>
      <c r="K33" s="99"/>
    </row>
    <row r="34" spans="1:11" ht="12.75" hidden="1" customHeight="1">
      <c r="A34" s="2168"/>
      <c r="D34" s="1">
        <v>1</v>
      </c>
      <c r="E34" s="257" t="s">
        <v>1890</v>
      </c>
    </row>
    <row r="35" spans="1:11" ht="11.25" hidden="1" customHeight="1">
      <c r="A35" s="2168"/>
      <c r="D35" s="293"/>
      <c r="E35" s="257" t="s">
        <v>1891</v>
      </c>
    </row>
    <row r="36" spans="1:11" s="1560" customFormat="1" ht="11.25" customHeight="1">
      <c r="A36" s="949"/>
      <c r="B36" s="444"/>
      <c r="D36" s="950"/>
      <c r="E36" s="951"/>
    </row>
    <row r="37" spans="1:11" s="1560" customFormat="1" ht="22.5" customHeight="1">
      <c r="A37" s="2168" t="s">
        <v>997</v>
      </c>
      <c r="B37" s="437"/>
      <c r="D37" s="869">
        <v>1</v>
      </c>
      <c r="E37" s="626" t="s">
        <v>1892</v>
      </c>
      <c r="F37" s="580" t="s">
        <v>1628</v>
      </c>
      <c r="G37" s="482"/>
      <c r="H37" s="445"/>
      <c r="I37" s="482"/>
      <c r="J37" s="445"/>
      <c r="K37" s="204" t="s">
        <v>1893</v>
      </c>
    </row>
    <row r="38" spans="1:11" s="1560" customFormat="1" ht="22.5" customHeight="1">
      <c r="A38" s="2168"/>
      <c r="B38" s="437"/>
      <c r="D38" s="589" t="s">
        <v>106</v>
      </c>
      <c r="E38" s="948" t="s">
        <v>1894</v>
      </c>
      <c r="F38" s="952" t="s">
        <v>440</v>
      </c>
      <c r="G38" s="952" t="s">
        <v>440</v>
      </c>
      <c r="H38" s="946"/>
      <c r="I38" s="952" t="s">
        <v>440</v>
      </c>
      <c r="J38" s="946"/>
      <c r="K38" s="947"/>
    </row>
    <row r="39" spans="1:11" s="1560" customFormat="1" ht="33.75" customHeight="1">
      <c r="A39" s="2168"/>
      <c r="B39" s="437"/>
      <c r="D39" s="585" t="s">
        <v>468</v>
      </c>
      <c r="E39" s="643" t="s">
        <v>1895</v>
      </c>
      <c r="F39" s="580" t="s">
        <v>1896</v>
      </c>
      <c r="G39" s="588"/>
      <c r="H39" s="939"/>
      <c r="I39" s="588"/>
      <c r="J39" s="939"/>
      <c r="K39" s="204" t="s">
        <v>1897</v>
      </c>
    </row>
    <row r="40" spans="1:11" s="1560" customFormat="1" ht="33.75" customHeight="1">
      <c r="A40" s="2168"/>
      <c r="B40" s="437"/>
      <c r="D40" s="585" t="s">
        <v>1789</v>
      </c>
      <c r="E40" s="643" t="s">
        <v>1898</v>
      </c>
      <c r="F40" s="943" t="s">
        <v>1899</v>
      </c>
      <c r="G40" s="660"/>
      <c r="H40" s="939"/>
      <c r="I40" s="660"/>
      <c r="J40" s="939"/>
      <c r="K40" s="204" t="s">
        <v>1900</v>
      </c>
    </row>
    <row r="41" spans="1:11" s="1560" customFormat="1" ht="22.5" customHeight="1">
      <c r="A41" s="2168"/>
      <c r="B41" s="437"/>
      <c r="D41" s="585" t="s">
        <v>89</v>
      </c>
      <c r="E41" s="642" t="s">
        <v>1901</v>
      </c>
      <c r="F41" s="580" t="s">
        <v>440</v>
      </c>
      <c r="G41" s="580" t="s">
        <v>440</v>
      </c>
      <c r="H41" s="940"/>
      <c r="I41" s="580" t="s">
        <v>440</v>
      </c>
      <c r="J41" s="940"/>
      <c r="K41" s="216"/>
    </row>
    <row r="42" spans="1:11" s="1560" customFormat="1" ht="45" customHeight="1">
      <c r="A42" s="2168"/>
      <c r="B42" s="437"/>
      <c r="D42" s="585" t="s">
        <v>311</v>
      </c>
      <c r="E42" s="643" t="s">
        <v>1902</v>
      </c>
      <c r="F42" s="580" t="s">
        <v>1644</v>
      </c>
      <c r="G42" s="482"/>
      <c r="H42" s="940"/>
      <c r="I42" s="482"/>
      <c r="J42" s="940"/>
      <c r="K42" s="216" t="s">
        <v>1903</v>
      </c>
    </row>
    <row r="43" spans="1:11" s="1560" customFormat="1" ht="45" customHeight="1">
      <c r="A43" s="2168"/>
      <c r="B43" s="437"/>
      <c r="D43" s="585" t="s">
        <v>319</v>
      </c>
      <c r="E43" s="587" t="s">
        <v>1904</v>
      </c>
      <c r="F43" s="944" t="s">
        <v>1644</v>
      </c>
      <c r="G43" s="661"/>
      <c r="H43" s="939"/>
      <c r="I43" s="661"/>
      <c r="J43" s="939"/>
      <c r="K43" s="216" t="s">
        <v>1905</v>
      </c>
    </row>
    <row r="44" spans="1:11" s="1560" customFormat="1" ht="11.25" customHeight="1">
      <c r="A44" s="2168"/>
      <c r="B44" s="437"/>
      <c r="D44" s="585" t="s">
        <v>90</v>
      </c>
      <c r="E44" s="586" t="s">
        <v>1906</v>
      </c>
      <c r="F44" s="580" t="s">
        <v>1896</v>
      </c>
      <c r="G44" s="588"/>
      <c r="H44" s="939"/>
      <c r="I44" s="588"/>
      <c r="J44" s="939"/>
      <c r="K44" s="204"/>
    </row>
    <row r="45" spans="1:11" s="1560" customFormat="1" ht="11.25" customHeight="1">
      <c r="A45" s="2168"/>
      <c r="B45" s="437"/>
      <c r="D45" s="585" t="s">
        <v>1477</v>
      </c>
      <c r="E45" s="587" t="s">
        <v>1907</v>
      </c>
      <c r="F45" s="580" t="s">
        <v>1896</v>
      </c>
      <c r="G45" s="588"/>
      <c r="H45" s="939"/>
      <c r="I45" s="588"/>
      <c r="J45" s="939"/>
      <c r="K45" s="204"/>
    </row>
    <row r="46" spans="1:11" s="1560" customFormat="1" ht="11.25" customHeight="1">
      <c r="A46" s="2168"/>
      <c r="B46" s="437"/>
      <c r="D46" s="585" t="s">
        <v>1494</v>
      </c>
      <c r="E46" s="587" t="s">
        <v>1908</v>
      </c>
      <c r="F46" s="580" t="s">
        <v>1896</v>
      </c>
      <c r="G46" s="588"/>
      <c r="H46" s="939"/>
      <c r="I46" s="588"/>
      <c r="J46" s="939"/>
      <c r="K46" s="204"/>
    </row>
    <row r="47" spans="1:11" s="1560" customFormat="1" ht="11.25" customHeight="1">
      <c r="A47" s="2168"/>
      <c r="B47" s="437"/>
      <c r="D47" s="585" t="s">
        <v>1641</v>
      </c>
      <c r="E47" s="587" t="s">
        <v>1909</v>
      </c>
      <c r="F47" s="580" t="s">
        <v>1896</v>
      </c>
      <c r="G47" s="588"/>
      <c r="H47" s="939"/>
      <c r="I47" s="588"/>
      <c r="J47" s="939"/>
      <c r="K47" s="204"/>
    </row>
    <row r="48" spans="1:11" s="1560" customFormat="1" ht="11.25" customHeight="1">
      <c r="A48" s="2168"/>
      <c r="B48" s="437"/>
      <c r="D48" s="585" t="s">
        <v>1910</v>
      </c>
      <c r="E48" s="591" t="s">
        <v>1911</v>
      </c>
      <c r="F48" s="580" t="s">
        <v>1896</v>
      </c>
      <c r="G48" s="588"/>
      <c r="H48" s="939"/>
      <c r="I48" s="588"/>
      <c r="J48" s="939"/>
      <c r="K48" s="204"/>
    </row>
    <row r="49" spans="1:11" s="1560" customFormat="1" ht="11.25" customHeight="1">
      <c r="A49" s="2168"/>
      <c r="B49" s="437"/>
      <c r="D49" s="585" t="s">
        <v>1912</v>
      </c>
      <c r="E49" s="591" t="s">
        <v>1913</v>
      </c>
      <c r="F49" s="580" t="s">
        <v>1896</v>
      </c>
      <c r="G49" s="588"/>
      <c r="H49" s="939"/>
      <c r="I49" s="588"/>
      <c r="J49" s="939"/>
      <c r="K49" s="204"/>
    </row>
    <row r="50" spans="1:11" s="1560" customFormat="1" ht="11.25" customHeight="1">
      <c r="A50" s="2168"/>
      <c r="B50" s="437"/>
      <c r="D50" s="585" t="s">
        <v>1914</v>
      </c>
      <c r="E50" s="587" t="s">
        <v>1915</v>
      </c>
      <c r="F50" s="580" t="s">
        <v>1896</v>
      </c>
      <c r="G50" s="588"/>
      <c r="H50" s="939"/>
      <c r="I50" s="588"/>
      <c r="J50" s="939"/>
      <c r="K50" s="204"/>
    </row>
    <row r="51" spans="1:11" s="1560" customFormat="1" ht="11.25" customHeight="1">
      <c r="A51" s="2168"/>
      <c r="B51" s="437"/>
      <c r="D51" s="585" t="s">
        <v>1916</v>
      </c>
      <c r="E51" s="587" t="s">
        <v>1917</v>
      </c>
      <c r="F51" s="580" t="s">
        <v>1896</v>
      </c>
      <c r="G51" s="588"/>
      <c r="H51" s="939"/>
      <c r="I51" s="588"/>
      <c r="J51" s="939"/>
      <c r="K51" s="204"/>
    </row>
    <row r="52" spans="1:11" s="1560" customFormat="1" ht="45" customHeight="1">
      <c r="A52" s="2168"/>
      <c r="B52" s="437"/>
      <c r="D52" s="585" t="s">
        <v>107</v>
      </c>
      <c r="E52" s="586" t="s">
        <v>1918</v>
      </c>
      <c r="F52" s="580" t="s">
        <v>1896</v>
      </c>
      <c r="G52" s="588"/>
      <c r="H52" s="939"/>
      <c r="I52" s="588"/>
      <c r="J52" s="939"/>
      <c r="K52" s="204"/>
    </row>
    <row r="53" spans="1:11" s="1560" customFormat="1" ht="11.25" customHeight="1">
      <c r="A53" s="2168"/>
      <c r="B53" s="437"/>
      <c r="D53" s="585" t="s">
        <v>300</v>
      </c>
      <c r="E53" s="587" t="s">
        <v>1907</v>
      </c>
      <c r="F53" s="580" t="s">
        <v>1896</v>
      </c>
      <c r="G53" s="588"/>
      <c r="H53" s="939"/>
      <c r="I53" s="588"/>
      <c r="J53" s="939"/>
      <c r="K53" s="204"/>
    </row>
    <row r="54" spans="1:11" s="1560" customFormat="1" ht="11.25" customHeight="1">
      <c r="A54" s="2168"/>
      <c r="B54" s="437"/>
      <c r="D54" s="585" t="s">
        <v>302</v>
      </c>
      <c r="E54" s="587" t="s">
        <v>1908</v>
      </c>
      <c r="F54" s="580" t="s">
        <v>1896</v>
      </c>
      <c r="G54" s="588"/>
      <c r="H54" s="939"/>
      <c r="I54" s="588"/>
      <c r="J54" s="939"/>
      <c r="K54" s="204"/>
    </row>
    <row r="55" spans="1:11" s="1560" customFormat="1" ht="11.25" customHeight="1">
      <c r="A55" s="2168"/>
      <c r="B55" s="437"/>
      <c r="D55" s="585" t="s">
        <v>305</v>
      </c>
      <c r="E55" s="587" t="s">
        <v>1909</v>
      </c>
      <c r="F55" s="580" t="s">
        <v>1896</v>
      </c>
      <c r="G55" s="588"/>
      <c r="H55" s="939"/>
      <c r="I55" s="588"/>
      <c r="J55" s="939"/>
      <c r="K55" s="204"/>
    </row>
    <row r="56" spans="1:11" s="1560" customFormat="1" ht="11.25" customHeight="1">
      <c r="A56" s="2168"/>
      <c r="B56" s="437"/>
      <c r="D56" s="585" t="s">
        <v>1621</v>
      </c>
      <c r="E56" s="591" t="s">
        <v>1911</v>
      </c>
      <c r="F56" s="580" t="s">
        <v>1896</v>
      </c>
      <c r="G56" s="588"/>
      <c r="H56" s="939"/>
      <c r="I56" s="588"/>
      <c r="J56" s="939"/>
      <c r="K56" s="204"/>
    </row>
    <row r="57" spans="1:11" s="1560" customFormat="1" ht="11.25" customHeight="1">
      <c r="A57" s="2168"/>
      <c r="B57" s="437"/>
      <c r="D57" s="585" t="s">
        <v>1919</v>
      </c>
      <c r="E57" s="591" t="s">
        <v>1913</v>
      </c>
      <c r="F57" s="580" t="s">
        <v>1896</v>
      </c>
      <c r="G57" s="588"/>
      <c r="H57" s="939"/>
      <c r="I57" s="588"/>
      <c r="J57" s="939"/>
      <c r="K57" s="204"/>
    </row>
    <row r="58" spans="1:11" s="1560" customFormat="1" ht="11.25" customHeight="1">
      <c r="A58" s="2168"/>
      <c r="B58" s="437"/>
      <c r="D58" s="585" t="s">
        <v>307</v>
      </c>
      <c r="E58" s="587" t="s">
        <v>1915</v>
      </c>
      <c r="F58" s="580" t="s">
        <v>1896</v>
      </c>
      <c r="G58" s="588"/>
      <c r="H58" s="939"/>
      <c r="I58" s="588"/>
      <c r="J58" s="939"/>
      <c r="K58" s="204"/>
    </row>
    <row r="59" spans="1:11" s="1560" customFormat="1" ht="11.25" customHeight="1">
      <c r="A59" s="2168"/>
      <c r="B59" s="437"/>
      <c r="D59" s="585" t="s">
        <v>1920</v>
      </c>
      <c r="E59" s="587" t="s">
        <v>1917</v>
      </c>
      <c r="F59" s="580" t="s">
        <v>1896</v>
      </c>
      <c r="G59" s="588"/>
      <c r="H59" s="939"/>
      <c r="I59" s="588"/>
      <c r="J59" s="939"/>
      <c r="K59" s="204"/>
    </row>
    <row r="60" spans="1:11" s="1560" customFormat="1" ht="33.75" customHeight="1">
      <c r="A60" s="2168"/>
      <c r="B60" s="437"/>
      <c r="D60" s="585" t="s">
        <v>91</v>
      </c>
      <c r="E60" s="586" t="s">
        <v>1921</v>
      </c>
      <c r="F60" s="641" t="s">
        <v>1644</v>
      </c>
      <c r="G60" s="661"/>
      <c r="H60" s="939"/>
      <c r="I60" s="661"/>
      <c r="J60" s="939"/>
      <c r="K60" s="216" t="s">
        <v>1922</v>
      </c>
    </row>
    <row r="61" spans="1:11" s="1560" customFormat="1" ht="33.75" customHeight="1">
      <c r="A61" s="2168"/>
      <c r="B61" s="437"/>
      <c r="D61" s="585" t="s">
        <v>92</v>
      </c>
      <c r="E61" s="586" t="s">
        <v>1923</v>
      </c>
      <c r="F61" s="646" t="s">
        <v>1640</v>
      </c>
      <c r="G61" s="588"/>
      <c r="H61" s="939"/>
      <c r="I61" s="588"/>
      <c r="J61" s="939"/>
      <c r="K61" s="204"/>
    </row>
    <row r="62" spans="1:11" s="1560" customFormat="1" ht="22.5" customHeight="1">
      <c r="A62" s="2168"/>
      <c r="B62" s="437" t="s">
        <v>1757</v>
      </c>
      <c r="D62" s="585" t="s">
        <v>108</v>
      </c>
      <c r="E62" s="586" t="s">
        <v>1924</v>
      </c>
      <c r="F62" s="646" t="s">
        <v>288</v>
      </c>
      <c r="G62" s="311"/>
      <c r="H62" s="939"/>
      <c r="I62" s="311"/>
      <c r="J62" s="939"/>
      <c r="K62" s="204" t="s">
        <v>1572</v>
      </c>
    </row>
    <row r="63" spans="1:11" s="1560" customFormat="1" ht="45" customHeight="1">
      <c r="A63" s="2168"/>
      <c r="B63" s="437" t="s">
        <v>1757</v>
      </c>
      <c r="D63" s="585" t="s">
        <v>1925</v>
      </c>
      <c r="E63" s="587" t="s">
        <v>1926</v>
      </c>
      <c r="F63" s="641" t="s">
        <v>288</v>
      </c>
      <c r="G63" s="311"/>
      <c r="H63" s="939"/>
      <c r="I63" s="311"/>
      <c r="J63" s="939"/>
      <c r="K63" s="204" t="s">
        <v>1572</v>
      </c>
    </row>
    <row r="64" spans="1:11" s="1560" customFormat="1" ht="11.25" customHeight="1">
      <c r="A64" s="949"/>
      <c r="B64" s="444"/>
      <c r="D64" s="950"/>
      <c r="E64" s="951"/>
    </row>
    <row r="65" spans="1:11" s="1560" customFormat="1" ht="22.5" hidden="1" customHeight="1">
      <c r="A65" s="2168" t="s">
        <v>1020</v>
      </c>
      <c r="B65" s="437"/>
      <c r="D65" s="585">
        <v>1</v>
      </c>
      <c r="E65" s="663" t="s">
        <v>1927</v>
      </c>
      <c r="F65" s="659" t="s">
        <v>1628</v>
      </c>
      <c r="G65" s="660"/>
      <c r="H65" s="945"/>
      <c r="I65" s="660"/>
      <c r="J65" s="945"/>
      <c r="K65" s="215" t="s">
        <v>1928</v>
      </c>
    </row>
    <row r="66" spans="1:11" s="1560" customFormat="1" ht="56.25" hidden="1" customHeight="1">
      <c r="A66" s="2168"/>
      <c r="B66" s="437"/>
      <c r="D66" s="662" t="s">
        <v>106</v>
      </c>
      <c r="E66" s="626" t="s">
        <v>1929</v>
      </c>
      <c r="F66" s="580" t="s">
        <v>440</v>
      </c>
      <c r="G66" s="580" t="s">
        <v>440</v>
      </c>
      <c r="H66" s="445"/>
      <c r="I66" s="580" t="s">
        <v>440</v>
      </c>
      <c r="J66" s="445"/>
      <c r="K66" s="204"/>
    </row>
    <row r="67" spans="1:11" s="1560" customFormat="1" ht="33.75" hidden="1" customHeight="1">
      <c r="A67" s="2168"/>
      <c r="B67" s="437"/>
      <c r="D67" s="662" t="s">
        <v>466</v>
      </c>
      <c r="E67" s="870" t="s">
        <v>1930</v>
      </c>
      <c r="F67" s="580" t="s">
        <v>1899</v>
      </c>
      <c r="G67" s="647"/>
      <c r="H67" s="445"/>
      <c r="I67" s="647"/>
      <c r="J67" s="445"/>
      <c r="K67" s="204"/>
    </row>
    <row r="68" spans="1:11" s="1560" customFormat="1" ht="22.5" hidden="1" customHeight="1">
      <c r="A68" s="2168"/>
      <c r="B68" s="437"/>
      <c r="D68" s="662" t="s">
        <v>290</v>
      </c>
      <c r="E68" s="870" t="s">
        <v>1931</v>
      </c>
      <c r="F68" s="580" t="s">
        <v>1899</v>
      </c>
      <c r="G68" s="647"/>
      <c r="H68" s="445"/>
      <c r="I68" s="647"/>
      <c r="J68" s="445"/>
      <c r="K68" s="204"/>
    </row>
    <row r="69" spans="1:11" s="1560" customFormat="1" ht="22.5" hidden="1" customHeight="1">
      <c r="A69" s="2168"/>
      <c r="B69" s="437"/>
      <c r="D69" s="662" t="s">
        <v>293</v>
      </c>
      <c r="E69" s="870" t="s">
        <v>1932</v>
      </c>
      <c r="F69" s="641" t="s">
        <v>1644</v>
      </c>
      <c r="G69" s="661"/>
      <c r="H69" s="445"/>
      <c r="I69" s="661"/>
      <c r="J69" s="445"/>
      <c r="K69" s="204"/>
    </row>
    <row r="70" spans="1:11" s="1560" customFormat="1" ht="22.5" hidden="1" customHeight="1">
      <c r="A70" s="2168"/>
      <c r="B70" s="437"/>
      <c r="D70" s="662" t="s">
        <v>1378</v>
      </c>
      <c r="E70" s="870" t="s">
        <v>1933</v>
      </c>
      <c r="F70" s="641" t="s">
        <v>1644</v>
      </c>
      <c r="G70" s="661"/>
      <c r="H70" s="445"/>
      <c r="I70" s="661"/>
      <c r="J70" s="445"/>
      <c r="K70" s="204"/>
    </row>
    <row r="71" spans="1:11" s="1560" customFormat="1" ht="22.5" hidden="1" customHeight="1">
      <c r="A71" s="2168"/>
      <c r="B71" s="437"/>
      <c r="D71" s="585" t="s">
        <v>89</v>
      </c>
      <c r="E71" s="586" t="s">
        <v>1934</v>
      </c>
      <c r="F71" s="580" t="s">
        <v>1899</v>
      </c>
      <c r="G71" s="482"/>
      <c r="H71" s="946"/>
      <c r="I71" s="482"/>
      <c r="J71" s="946"/>
      <c r="K71" s="216"/>
    </row>
    <row r="72" spans="1:11" s="1560" customFormat="1" ht="56.25" hidden="1" customHeight="1">
      <c r="A72" s="2168"/>
      <c r="B72" s="437"/>
      <c r="D72" s="585" t="s">
        <v>90</v>
      </c>
      <c r="E72" s="586" t="s">
        <v>1935</v>
      </c>
      <c r="F72" s="641" t="s">
        <v>1644</v>
      </c>
      <c r="G72" s="661"/>
      <c r="H72" s="939"/>
      <c r="I72" s="661"/>
      <c r="J72" s="939"/>
      <c r="K72" s="216"/>
    </row>
    <row r="73" spans="1:11" s="1560" customFormat="1" ht="33.75" hidden="1" customHeight="1">
      <c r="A73" s="2168"/>
      <c r="B73" s="437"/>
      <c r="D73" s="585" t="s">
        <v>107</v>
      </c>
      <c r="E73" s="586" t="s">
        <v>1936</v>
      </c>
      <c r="F73" s="646" t="s">
        <v>1640</v>
      </c>
      <c r="G73" s="588"/>
      <c r="H73" s="939"/>
      <c r="I73" s="588"/>
      <c r="J73" s="939"/>
      <c r="K73" s="204"/>
    </row>
    <row r="74" spans="1:11" s="1560" customFormat="1" ht="22.5" hidden="1" customHeight="1">
      <c r="A74" s="2168"/>
      <c r="B74" s="437" t="s">
        <v>1757</v>
      </c>
      <c r="D74" s="585" t="s">
        <v>91</v>
      </c>
      <c r="E74" s="586" t="s">
        <v>1937</v>
      </c>
      <c r="F74" s="646" t="s">
        <v>288</v>
      </c>
      <c r="G74" s="311"/>
      <c r="H74" s="939"/>
      <c r="I74" s="311"/>
      <c r="J74" s="939"/>
      <c r="K74" s="204" t="s">
        <v>1572</v>
      </c>
    </row>
    <row r="75" spans="1:11" s="1560" customFormat="1" ht="45" hidden="1" customHeight="1">
      <c r="A75" s="2168"/>
      <c r="B75" s="437" t="s">
        <v>1757</v>
      </c>
      <c r="D75" s="585" t="s">
        <v>1382</v>
      </c>
      <c r="E75" s="587" t="s">
        <v>1938</v>
      </c>
      <c r="F75" s="641" t="s">
        <v>288</v>
      </c>
      <c r="G75" s="311"/>
      <c r="H75" s="939"/>
      <c r="I75" s="311"/>
      <c r="J75" s="939"/>
      <c r="K75" s="204" t="s">
        <v>1572</v>
      </c>
    </row>
    <row r="76" spans="1:11" s="1560" customFormat="1" ht="11.25" customHeight="1">
      <c r="A76" s="949"/>
      <c r="B76" s="444"/>
      <c r="D76" s="950"/>
      <c r="E76" s="951"/>
    </row>
    <row r="77" spans="1:11" s="1560" customFormat="1" ht="11.25" hidden="1" customHeight="1">
      <c r="A77" s="2168" t="s">
        <v>609</v>
      </c>
      <c r="B77" s="437"/>
      <c r="D77" s="585">
        <v>1</v>
      </c>
      <c r="E77" s="586" t="s">
        <v>1939</v>
      </c>
      <c r="F77" s="641" t="s">
        <v>1628</v>
      </c>
      <c r="G77" s="644"/>
      <c r="H77" s="939"/>
      <c r="I77" s="644"/>
      <c r="J77" s="939"/>
      <c r="K77" s="204" t="s">
        <v>1940</v>
      </c>
    </row>
    <row r="78" spans="1:11" s="1560" customFormat="1" ht="11.25" hidden="1" customHeight="1">
      <c r="A78" s="2168"/>
      <c r="B78" s="437"/>
      <c r="D78" s="585" t="s">
        <v>106</v>
      </c>
      <c r="E78" s="586" t="s">
        <v>1941</v>
      </c>
      <c r="F78" s="641" t="s">
        <v>1628</v>
      </c>
      <c r="G78" s="644"/>
      <c r="H78" s="939"/>
      <c r="I78" s="644"/>
      <c r="J78" s="939"/>
      <c r="K78" s="204" t="s">
        <v>1942</v>
      </c>
    </row>
    <row r="79" spans="1:11" s="1560" customFormat="1" ht="22.5" hidden="1" customHeight="1">
      <c r="A79" s="2168"/>
      <c r="B79" s="437"/>
      <c r="D79" s="585" t="s">
        <v>89</v>
      </c>
      <c r="E79" s="642" t="s">
        <v>1943</v>
      </c>
      <c r="F79" s="580" t="s">
        <v>1896</v>
      </c>
      <c r="G79" s="644"/>
      <c r="H79" s="939"/>
      <c r="I79" s="644"/>
      <c r="J79" s="939"/>
      <c r="K79" s="204" t="s">
        <v>1944</v>
      </c>
    </row>
    <row r="80" spans="1:11" s="1560" customFormat="1" ht="11.25" hidden="1" customHeight="1">
      <c r="A80" s="2168"/>
      <c r="B80" s="437"/>
      <c r="D80" s="585" t="s">
        <v>311</v>
      </c>
      <c r="E80" s="643" t="s">
        <v>1945</v>
      </c>
      <c r="F80" s="580" t="s">
        <v>1896</v>
      </c>
      <c r="G80" s="644"/>
      <c r="H80" s="939"/>
      <c r="I80" s="644"/>
      <c r="J80" s="939"/>
      <c r="K80" s="204"/>
    </row>
    <row r="81" spans="1:11" s="1560" customFormat="1" ht="11.25" hidden="1" customHeight="1">
      <c r="A81" s="2168"/>
      <c r="B81" s="437"/>
      <c r="D81" s="585" t="s">
        <v>319</v>
      </c>
      <c r="E81" s="643" t="s">
        <v>1946</v>
      </c>
      <c r="F81" s="580" t="s">
        <v>1896</v>
      </c>
      <c r="G81" s="644"/>
      <c r="H81" s="939"/>
      <c r="I81" s="644"/>
      <c r="J81" s="939"/>
      <c r="K81" s="204"/>
    </row>
    <row r="82" spans="1:11" s="1560" customFormat="1" ht="11.25" hidden="1" customHeight="1">
      <c r="A82" s="2168"/>
      <c r="B82" s="437"/>
      <c r="D82" s="585" t="s">
        <v>321</v>
      </c>
      <c r="E82" s="643" t="s">
        <v>1947</v>
      </c>
      <c r="F82" s="580" t="s">
        <v>1896</v>
      </c>
      <c r="G82" s="644"/>
      <c r="H82" s="939"/>
      <c r="I82" s="644"/>
      <c r="J82" s="939"/>
      <c r="K82" s="204"/>
    </row>
    <row r="83" spans="1:11" s="1560" customFormat="1" ht="11.25" hidden="1" customHeight="1">
      <c r="A83" s="2168"/>
      <c r="B83" s="437"/>
      <c r="D83" s="585" t="s">
        <v>323</v>
      </c>
      <c r="E83" s="643" t="s">
        <v>1948</v>
      </c>
      <c r="F83" s="580" t="s">
        <v>1896</v>
      </c>
      <c r="G83" s="644"/>
      <c r="H83" s="939"/>
      <c r="I83" s="644"/>
      <c r="J83" s="939"/>
      <c r="K83" s="204"/>
    </row>
    <row r="84" spans="1:11" s="1560" customFormat="1" ht="11.25" hidden="1" customHeight="1">
      <c r="A84" s="2168"/>
      <c r="B84" s="437"/>
      <c r="D84" s="585" t="s">
        <v>1949</v>
      </c>
      <c r="E84" s="643" t="s">
        <v>1950</v>
      </c>
      <c r="F84" s="580" t="s">
        <v>1896</v>
      </c>
      <c r="G84" s="644"/>
      <c r="H84" s="939"/>
      <c r="I84" s="644"/>
      <c r="J84" s="939"/>
      <c r="K84" s="204"/>
    </row>
    <row r="85" spans="1:11" s="1560" customFormat="1" ht="11.25" hidden="1" customHeight="1">
      <c r="A85" s="2168"/>
      <c r="B85" s="437"/>
      <c r="D85" s="585" t="s">
        <v>1951</v>
      </c>
      <c r="E85" s="643" t="s">
        <v>1952</v>
      </c>
      <c r="F85" s="580" t="s">
        <v>1896</v>
      </c>
      <c r="G85" s="644"/>
      <c r="H85" s="939"/>
      <c r="I85" s="644"/>
      <c r="J85" s="939"/>
      <c r="K85" s="204"/>
    </row>
    <row r="86" spans="1:11" s="1560" customFormat="1" ht="11.25" hidden="1" customHeight="1">
      <c r="A86" s="2168"/>
      <c r="B86" s="437"/>
      <c r="D86" s="585" t="s">
        <v>1953</v>
      </c>
      <c r="E86" s="643" t="s">
        <v>1954</v>
      </c>
      <c r="F86" s="580" t="s">
        <v>1896</v>
      </c>
      <c r="G86" s="644"/>
      <c r="H86" s="939"/>
      <c r="I86" s="644"/>
      <c r="J86" s="939"/>
      <c r="K86" s="204"/>
    </row>
    <row r="87" spans="1:11" s="1560" customFormat="1" ht="45" hidden="1" customHeight="1">
      <c r="A87" s="2168"/>
      <c r="B87" s="437"/>
      <c r="D87" s="585" t="s">
        <v>90</v>
      </c>
      <c r="E87" s="586" t="s">
        <v>1955</v>
      </c>
      <c r="F87" s="580" t="s">
        <v>1896</v>
      </c>
      <c r="G87" s="644"/>
      <c r="H87" s="939"/>
      <c r="I87" s="644"/>
      <c r="J87" s="939"/>
      <c r="K87" s="204" t="s">
        <v>1956</v>
      </c>
    </row>
    <row r="88" spans="1:11" s="1560" customFormat="1" ht="11.25" hidden="1" customHeight="1">
      <c r="A88" s="2168"/>
      <c r="B88" s="437"/>
      <c r="D88" s="585" t="s">
        <v>1477</v>
      </c>
      <c r="E88" s="643" t="s">
        <v>1945</v>
      </c>
      <c r="F88" s="580" t="s">
        <v>1896</v>
      </c>
      <c r="G88" s="644"/>
      <c r="H88" s="939"/>
      <c r="I88" s="644"/>
      <c r="J88" s="939"/>
      <c r="K88" s="204"/>
    </row>
    <row r="89" spans="1:11" s="1560" customFormat="1" ht="11.25" hidden="1" customHeight="1">
      <c r="A89" s="2168"/>
      <c r="B89" s="437"/>
      <c r="D89" s="585" t="s">
        <v>1494</v>
      </c>
      <c r="E89" s="643" t="s">
        <v>1946</v>
      </c>
      <c r="F89" s="580" t="s">
        <v>1896</v>
      </c>
      <c r="G89" s="644"/>
      <c r="H89" s="939"/>
      <c r="I89" s="644"/>
      <c r="J89" s="939"/>
      <c r="K89" s="204"/>
    </row>
    <row r="90" spans="1:11" s="1560" customFormat="1" ht="11.25" hidden="1" customHeight="1">
      <c r="A90" s="2168"/>
      <c r="B90" s="437"/>
      <c r="D90" s="585" t="s">
        <v>1641</v>
      </c>
      <c r="E90" s="643" t="s">
        <v>1947</v>
      </c>
      <c r="F90" s="580" t="s">
        <v>1896</v>
      </c>
      <c r="G90" s="644"/>
      <c r="H90" s="939"/>
      <c r="I90" s="644"/>
      <c r="J90" s="939"/>
      <c r="K90" s="204"/>
    </row>
    <row r="91" spans="1:11" s="1560" customFormat="1" ht="11.25" hidden="1" customHeight="1">
      <c r="A91" s="2168"/>
      <c r="B91" s="437"/>
      <c r="D91" s="585" t="s">
        <v>1914</v>
      </c>
      <c r="E91" s="643" t="s">
        <v>1948</v>
      </c>
      <c r="F91" s="580" t="s">
        <v>1896</v>
      </c>
      <c r="G91" s="644"/>
      <c r="H91" s="939"/>
      <c r="I91" s="644"/>
      <c r="J91" s="939"/>
      <c r="K91" s="204"/>
    </row>
    <row r="92" spans="1:11" s="1560" customFormat="1" ht="11.25" hidden="1" customHeight="1">
      <c r="A92" s="2168"/>
      <c r="B92" s="437"/>
      <c r="D92" s="585" t="s">
        <v>1916</v>
      </c>
      <c r="E92" s="643" t="s">
        <v>1950</v>
      </c>
      <c r="F92" s="580" t="s">
        <v>1896</v>
      </c>
      <c r="G92" s="644"/>
      <c r="H92" s="939"/>
      <c r="I92" s="644"/>
      <c r="J92" s="939"/>
      <c r="K92" s="204"/>
    </row>
    <row r="93" spans="1:11" s="1560" customFormat="1" ht="11.25" hidden="1" customHeight="1">
      <c r="A93" s="2168"/>
      <c r="B93" s="437"/>
      <c r="D93" s="585" t="s">
        <v>1957</v>
      </c>
      <c r="E93" s="643" t="s">
        <v>1952</v>
      </c>
      <c r="F93" s="580" t="s">
        <v>1896</v>
      </c>
      <c r="G93" s="644"/>
      <c r="H93" s="939"/>
      <c r="I93" s="644"/>
      <c r="J93" s="939"/>
      <c r="K93" s="204"/>
    </row>
    <row r="94" spans="1:11" s="1560" customFormat="1" ht="11.25" hidden="1" customHeight="1">
      <c r="A94" s="2168"/>
      <c r="B94" s="437"/>
      <c r="D94" s="585" t="s">
        <v>1958</v>
      </c>
      <c r="E94" s="643" t="s">
        <v>1954</v>
      </c>
      <c r="F94" s="580" t="s">
        <v>1896</v>
      </c>
      <c r="G94" s="644"/>
      <c r="H94" s="939"/>
      <c r="I94" s="644"/>
      <c r="J94" s="939"/>
      <c r="K94" s="204"/>
    </row>
    <row r="95" spans="1:11" s="1560" customFormat="1" ht="24.75" hidden="1" customHeight="1">
      <c r="A95" s="2168"/>
      <c r="B95" s="437"/>
      <c r="D95" s="585" t="s">
        <v>107</v>
      </c>
      <c r="E95" s="586" t="s">
        <v>1959</v>
      </c>
      <c r="F95" s="645" t="s">
        <v>1644</v>
      </c>
      <c r="G95" s="647"/>
      <c r="H95" s="939"/>
      <c r="I95" s="647"/>
      <c r="J95" s="939"/>
      <c r="K95" s="204" t="s">
        <v>1960</v>
      </c>
    </row>
    <row r="96" spans="1:11" s="1560" customFormat="1" ht="33.75" hidden="1" customHeight="1">
      <c r="A96" s="2168"/>
      <c r="B96" s="437"/>
      <c r="D96" s="585" t="s">
        <v>91</v>
      </c>
      <c r="E96" s="586" t="s">
        <v>1961</v>
      </c>
      <c r="F96" s="646" t="s">
        <v>1640</v>
      </c>
      <c r="G96" s="648"/>
      <c r="H96" s="939"/>
      <c r="I96" s="648"/>
      <c r="J96" s="939"/>
      <c r="K96" s="204"/>
    </row>
    <row r="97" spans="1:11" s="1560" customFormat="1" ht="22.5" hidden="1" customHeight="1">
      <c r="A97" s="2168"/>
      <c r="B97" s="437" t="s">
        <v>1757</v>
      </c>
      <c r="D97" s="585" t="s">
        <v>92</v>
      </c>
      <c r="E97" s="586" t="s">
        <v>1962</v>
      </c>
      <c r="F97" s="646" t="s">
        <v>288</v>
      </c>
      <c r="G97" s="314"/>
      <c r="H97" s="939"/>
      <c r="I97" s="314"/>
      <c r="J97" s="939"/>
      <c r="K97" s="204" t="s">
        <v>1572</v>
      </c>
    </row>
    <row r="98" spans="1:11" s="1560" customFormat="1" ht="45" hidden="1" customHeight="1">
      <c r="A98" s="2168"/>
      <c r="B98" s="437" t="s">
        <v>1757</v>
      </c>
      <c r="D98" s="585" t="s">
        <v>1963</v>
      </c>
      <c r="E98" s="587" t="s">
        <v>1964</v>
      </c>
      <c r="F98" s="641" t="s">
        <v>288</v>
      </c>
      <c r="G98" s="314"/>
      <c r="H98" s="939"/>
      <c r="I98" s="314"/>
      <c r="J98" s="939"/>
      <c r="K98" s="204" t="s">
        <v>1572</v>
      </c>
    </row>
    <row r="99" spans="1:11" s="1560" customFormat="1" ht="95.25" hidden="1" customHeight="1">
      <c r="A99" s="2168"/>
      <c r="B99" s="437" t="s">
        <v>1757</v>
      </c>
      <c r="D99" s="585" t="s">
        <v>108</v>
      </c>
      <c r="E99" s="586" t="s">
        <v>1965</v>
      </c>
      <c r="F99" s="641" t="s">
        <v>288</v>
      </c>
      <c r="G99" s="314"/>
      <c r="H99" s="939"/>
      <c r="I99" s="314"/>
      <c r="J99" s="939"/>
      <c r="K99" s="204" t="s">
        <v>1572</v>
      </c>
    </row>
    <row r="100" spans="1:11" s="1560" customFormat="1" ht="22.5" hidden="1" customHeight="1">
      <c r="A100" s="2168"/>
      <c r="B100" s="437" t="s">
        <v>1757</v>
      </c>
      <c r="D100" s="585" t="s">
        <v>144</v>
      </c>
      <c r="E100" s="586" t="s">
        <v>1966</v>
      </c>
      <c r="F100" s="641" t="s">
        <v>288</v>
      </c>
      <c r="G100" s="314"/>
      <c r="H100" s="939"/>
      <c r="I100" s="314"/>
      <c r="J100" s="939"/>
      <c r="K100" s="204" t="s">
        <v>1572</v>
      </c>
    </row>
    <row r="101" spans="1:11" s="1560" customFormat="1" ht="11.25" customHeight="1">
      <c r="A101" s="949"/>
      <c r="B101" s="444"/>
      <c r="D101" s="950"/>
      <c r="E101" s="951"/>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076" hidden="1" customWidth="1"/>
    <col min="4" max="4" width="6.69921875" style="1292" hidden="1" customWidth="1"/>
    <col min="5" max="5" width="3.69921875" style="1560" customWidth="1"/>
    <col min="6" max="6" width="6.296875" style="1560" customWidth="1"/>
    <col min="7" max="7" width="37.69921875" style="1560" customWidth="1"/>
    <col min="8" max="8" width="16.59765625" style="1560" customWidth="1"/>
    <col min="9" max="10" width="19.69921875" style="1560" customWidth="1"/>
    <col min="11" max="11" width="25" style="1560" customWidth="1"/>
    <col min="12" max="13" width="25.69921875" style="1560" customWidth="1"/>
    <col min="14" max="16" width="17.69921875" style="1560" customWidth="1"/>
    <col min="17" max="24" width="19.69921875" style="1560" customWidth="1"/>
    <col min="25" max="25" width="8" style="1560" customWidth="1"/>
    <col min="26" max="26" width="3.296875" style="1560" customWidth="1"/>
    <col min="27" max="27" width="6.296875" style="1560" customWidth="1"/>
    <col min="28" max="28" width="34.09765625" style="1560" customWidth="1"/>
    <col min="29" max="30" width="9.09765625" style="1560"/>
  </cols>
  <sheetData>
    <row r="1" spans="1:30" s="1292" customFormat="1" ht="10.5" hidden="1" customHeight="1">
      <c r="A1" s="814"/>
      <c r="B1" s="814"/>
      <c r="C1" s="814"/>
      <c r="E1" s="462"/>
      <c r="H1" s="1070"/>
    </row>
    <row r="2" spans="1:30" ht="10.5" hidden="1" customHeight="1"/>
    <row r="3" spans="1:30" s="1557" customFormat="1" ht="10.5" hidden="1" customHeight="1">
      <c r="A3" s="814"/>
      <c r="B3" s="814"/>
      <c r="C3" s="814"/>
      <c r="D3" s="347"/>
      <c r="E3" s="285"/>
      <c r="H3" s="1066"/>
    </row>
    <row r="4" spans="1:30" ht="3" customHeight="1"/>
    <row r="5" spans="1:30" ht="30" customHeight="1">
      <c r="F5" s="2067" t="s">
        <v>1967</v>
      </c>
      <c r="G5" s="2067"/>
      <c r="H5" s="2067"/>
      <c r="I5" s="2067"/>
      <c r="J5" s="2067"/>
      <c r="K5" s="2067"/>
      <c r="M5" s="507"/>
      <c r="AB5" s="825"/>
    </row>
    <row r="6" spans="1:30" s="1560" customFormat="1" ht="15.75" customHeight="1">
      <c r="A6" s="1076"/>
      <c r="B6" s="1076"/>
      <c r="C6" s="1076"/>
      <c r="D6" s="1070"/>
      <c r="F6" s="1927" t="str">
        <f>IF(org=0,"Не определено",org)</f>
        <v>НАО "СВЕЗА Мантурово"</v>
      </c>
      <c r="G6" s="1927"/>
      <c r="H6" s="1927"/>
      <c r="I6" s="1927"/>
      <c r="J6" s="1927"/>
      <c r="K6" s="1927"/>
      <c r="M6" s="507"/>
      <c r="AB6" s="1058"/>
    </row>
    <row r="8" spans="1:30" ht="10.5" customHeight="1">
      <c r="A8" s="967"/>
      <c r="B8" s="967"/>
      <c r="C8" s="967"/>
      <c r="F8" s="1822" t="s">
        <v>282</v>
      </c>
      <c r="G8" s="1827"/>
      <c r="H8" s="1827"/>
      <c r="I8" s="1827"/>
      <c r="J8" s="1827"/>
      <c r="K8" s="1827"/>
      <c r="L8" s="1827"/>
      <c r="M8" s="1827"/>
      <c r="N8" s="1827"/>
      <c r="O8" s="1827"/>
      <c r="P8" s="1827"/>
      <c r="Q8" s="1827"/>
      <c r="R8" s="1827"/>
      <c r="S8" s="1827"/>
      <c r="T8" s="1827"/>
      <c r="U8" s="1827"/>
      <c r="V8" s="1827"/>
      <c r="W8" s="1827"/>
      <c r="X8" s="1827"/>
      <c r="Y8" s="1827"/>
      <c r="Z8" s="1827"/>
      <c r="AA8" s="1827"/>
      <c r="AB8" s="1821"/>
    </row>
    <row r="9" spans="1:30" ht="41.25" customHeight="1">
      <c r="A9" s="824"/>
      <c r="B9" s="824"/>
      <c r="C9" s="824"/>
      <c r="F9" s="1840" t="s">
        <v>87</v>
      </c>
      <c r="G9" s="1840" t="s">
        <v>1968</v>
      </c>
      <c r="H9" s="1894" t="s">
        <v>1969</v>
      </c>
      <c r="I9" s="1840" t="s">
        <v>1970</v>
      </c>
      <c r="J9" s="1840" t="s">
        <v>1971</v>
      </c>
      <c r="K9" s="1840" t="s">
        <v>1972</v>
      </c>
      <c r="L9" s="1840" t="s">
        <v>1973</v>
      </c>
      <c r="M9" s="1840" t="s">
        <v>1974</v>
      </c>
      <c r="N9" s="1925" t="s">
        <v>1975</v>
      </c>
      <c r="O9" s="1925"/>
      <c r="P9" s="1925"/>
      <c r="Q9" s="2055" t="s">
        <v>1976</v>
      </c>
      <c r="R9" s="2056"/>
      <c r="S9" s="2056"/>
      <c r="T9" s="2057"/>
      <c r="U9" s="2055" t="s">
        <v>1977</v>
      </c>
      <c r="V9" s="2056"/>
      <c r="W9" s="2056"/>
      <c r="X9" s="2057"/>
      <c r="Y9" s="1822" t="s">
        <v>1978</v>
      </c>
      <c r="Z9" s="1827"/>
      <c r="AA9" s="1827"/>
      <c r="AB9" s="1821"/>
    </row>
    <row r="10" spans="1:30" ht="41.25" customHeight="1">
      <c r="A10" s="824"/>
      <c r="B10" s="824"/>
      <c r="C10" s="824"/>
      <c r="F10" s="1894"/>
      <c r="G10" s="1894"/>
      <c r="H10" s="1950"/>
      <c r="I10" s="1894"/>
      <c r="J10" s="1894"/>
      <c r="K10" s="1894"/>
      <c r="L10" s="1894"/>
      <c r="M10" s="1894"/>
      <c r="N10" s="822" t="s">
        <v>1979</v>
      </c>
      <c r="O10" s="822" t="s">
        <v>1980</v>
      </c>
      <c r="P10" s="823" t="s">
        <v>1981</v>
      </c>
      <c r="Q10" s="834" t="s">
        <v>88</v>
      </c>
      <c r="R10" s="834" t="s">
        <v>1982</v>
      </c>
      <c r="S10" s="834" t="s">
        <v>1983</v>
      </c>
      <c r="T10" s="835" t="s">
        <v>1984</v>
      </c>
      <c r="U10" s="834" t="s">
        <v>88</v>
      </c>
      <c r="V10" s="834" t="s">
        <v>1985</v>
      </c>
      <c r="W10" s="834" t="s">
        <v>1983</v>
      </c>
      <c r="X10" s="835" t="s">
        <v>1984</v>
      </c>
      <c r="Y10" s="215" t="s">
        <v>1986</v>
      </c>
      <c r="Z10" s="1822" t="s">
        <v>87</v>
      </c>
      <c r="AA10" s="1821"/>
      <c r="AB10" s="965" t="s">
        <v>1987</v>
      </c>
    </row>
    <row r="11" spans="1:30" s="1567" customFormat="1" ht="5.25" hidden="1" customHeight="1">
      <c r="A11" s="968"/>
      <c r="B11" s="968"/>
      <c r="C11" s="968"/>
      <c r="E11" s="966"/>
      <c r="F11" s="2028" t="s">
        <v>376</v>
      </c>
      <c r="G11" s="2127"/>
      <c r="H11" s="2169"/>
      <c r="I11" s="2169"/>
      <c r="J11" s="2169"/>
      <c r="K11" s="1979"/>
      <c r="L11" s="1979"/>
      <c r="M11" s="1979"/>
      <c r="N11" s="2169"/>
      <c r="O11" s="2169"/>
      <c r="P11" s="1840"/>
      <c r="Q11" s="1904"/>
      <c r="R11" s="1904"/>
      <c r="S11" s="1904"/>
      <c r="T11" s="2169"/>
      <c r="U11" s="1904"/>
      <c r="V11" s="1904"/>
      <c r="W11" s="1904"/>
      <c r="X11" s="2169"/>
      <c r="Y11" s="1851"/>
      <c r="Z11" s="1851"/>
      <c r="AA11" s="1851"/>
      <c r="AB11" s="1851"/>
      <c r="AD11" s="437" t="s">
        <v>1988</v>
      </c>
    </row>
    <row r="12" spans="1:30" s="1567" customFormat="1" ht="5.25" hidden="1" customHeight="1">
      <c r="A12" s="815"/>
      <c r="B12" s="815"/>
      <c r="C12" s="815"/>
      <c r="E12" s="444"/>
      <c r="F12" s="2028"/>
      <c r="G12" s="2127"/>
      <c r="H12" s="2169"/>
      <c r="I12" s="2169"/>
      <c r="J12" s="2169"/>
      <c r="K12" s="1979"/>
      <c r="L12" s="1979"/>
      <c r="M12" s="1979"/>
      <c r="N12" s="2169"/>
      <c r="O12" s="2169"/>
      <c r="P12" s="1840"/>
      <c r="Q12" s="1904"/>
      <c r="R12" s="1904"/>
      <c r="S12" s="1904"/>
      <c r="T12" s="2169"/>
      <c r="U12" s="1904"/>
      <c r="V12" s="1904"/>
      <c r="W12" s="1904"/>
      <c r="X12" s="2169"/>
      <c r="Y12" s="2170"/>
      <c r="Z12" s="2170"/>
      <c r="AA12" s="2170"/>
      <c r="AB12" s="2170"/>
    </row>
    <row r="13" spans="1:30" ht="10.5" customHeight="1">
      <c r="F13" s="821"/>
      <c r="G13" s="570" t="s">
        <v>1989</v>
      </c>
      <c r="H13" s="1078"/>
      <c r="I13" s="497"/>
      <c r="J13" s="497"/>
      <c r="K13" s="497"/>
      <c r="L13" s="497"/>
      <c r="M13" s="497"/>
      <c r="N13" s="497"/>
      <c r="O13" s="497"/>
      <c r="P13" s="497"/>
      <c r="Q13" s="497"/>
      <c r="R13" s="497"/>
      <c r="S13" s="497"/>
      <c r="T13" s="497"/>
      <c r="U13" s="497"/>
      <c r="V13" s="497"/>
      <c r="W13" s="497"/>
      <c r="X13" s="497"/>
      <c r="Y13" s="497"/>
      <c r="Z13" s="616"/>
      <c r="AA13" s="616"/>
      <c r="AB13" s="836"/>
    </row>
    <row r="15" spans="1:30" s="1567" customFormat="1" ht="10.5" customHeight="1">
      <c r="A15" s="1077"/>
      <c r="B15" s="1077"/>
      <c r="C15" s="1077"/>
      <c r="E15" s="444"/>
      <c r="H15" s="437">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076" hidden="1" customWidth="1"/>
    <col min="4" max="4" width="4.09765625" style="1292" hidden="1" customWidth="1"/>
    <col min="5" max="5" width="3.69921875" style="1560" customWidth="1"/>
    <col min="6" max="6" width="14.3984375" style="1560" customWidth="1"/>
    <col min="7" max="7" width="3.69921875" style="1560" customWidth="1"/>
    <col min="8" max="8" width="7.69921875" style="1560" customWidth="1"/>
    <col min="9" max="10" width="16.69921875" style="1560" customWidth="1"/>
    <col min="11" max="11" width="25.69921875" style="1560" customWidth="1"/>
    <col min="12" max="12" width="8" style="1560" customWidth="1"/>
    <col min="13" max="13" width="15.59765625" style="1560" customWidth="1"/>
    <col min="14" max="14" width="3.296875" style="1560" customWidth="1"/>
    <col min="15" max="15" width="4.69921875" style="1560" customWidth="1"/>
    <col min="16" max="16" width="9" style="1560" customWidth="1"/>
    <col min="17" max="17" width="21.69921875" style="1560" customWidth="1"/>
    <col min="18" max="18" width="14.69921875" style="1560" customWidth="1"/>
    <col min="19" max="20" width="17.69921875" style="1560" customWidth="1"/>
    <col min="21" max="21" width="9.69921875" style="1560" customWidth="1"/>
    <col min="22" max="22" width="12.69921875" style="1560" customWidth="1"/>
    <col min="23" max="23" width="9.69921875" style="1560" customWidth="1"/>
    <col min="24" max="24" width="21.69921875" style="1560" customWidth="1"/>
    <col min="25" max="25" width="12.69921875" style="1560" customWidth="1"/>
    <col min="26" max="26" width="3.296875" style="1560" customWidth="1"/>
    <col min="27" max="27" width="7.09765625" style="1560" customWidth="1"/>
    <col min="28" max="28" width="38.3984375" style="1560" customWidth="1"/>
    <col min="29" max="29" width="15.69921875" style="1560" customWidth="1"/>
    <col min="30" max="30" width="37.59765625" style="1560" customWidth="1"/>
    <col min="31" max="31" width="15.69921875" style="1560" customWidth="1"/>
    <col min="32" max="37" width="16.69921875" style="1560" customWidth="1"/>
    <col min="38" max="58" width="9.09765625" style="1560"/>
  </cols>
  <sheetData>
    <row r="1" spans="1:58" s="1292" customFormat="1" ht="10.5" hidden="1" customHeight="1">
      <c r="A1" s="814"/>
      <c r="B1" s="814"/>
      <c r="C1" s="814"/>
      <c r="E1" s="462"/>
      <c r="H1" s="1070"/>
      <c r="L1" s="1040"/>
      <c r="M1" s="1040"/>
      <c r="AD1" s="1040"/>
      <c r="AH1" s="1057"/>
      <c r="AI1" s="1051"/>
    </row>
    <row r="2" spans="1:58" ht="10.5" hidden="1" customHeight="1"/>
    <row r="3" spans="1:58" s="1557" customFormat="1" ht="10.5" hidden="1" customHeight="1">
      <c r="A3" s="814"/>
      <c r="B3" s="814"/>
      <c r="C3" s="814"/>
      <c r="D3" s="347"/>
      <c r="E3" s="285"/>
      <c r="H3" s="1066"/>
      <c r="L3" s="1038"/>
      <c r="M3" s="1038"/>
      <c r="AD3" s="1038"/>
      <c r="AH3" s="1055"/>
      <c r="AI3" s="1049"/>
    </row>
    <row r="4" spans="1:58" ht="3" customHeight="1"/>
    <row r="5" spans="1:58" ht="30" customHeight="1">
      <c r="F5" s="2067" t="s">
        <v>1967</v>
      </c>
      <c r="G5" s="2067"/>
      <c r="H5" s="2067"/>
      <c r="I5" s="2067"/>
      <c r="J5" s="2067"/>
      <c r="K5" s="2067"/>
      <c r="L5" s="1047"/>
      <c r="M5" s="1047"/>
      <c r="AG5" s="825"/>
      <c r="AH5" s="1058"/>
    </row>
    <row r="6" spans="1:58" ht="10.5" customHeight="1">
      <c r="F6" s="1927" t="str">
        <f>IF(org=0,"Не определено",org)</f>
        <v>НАО "СВЕЗА Мантурово"</v>
      </c>
      <c r="G6" s="1927"/>
      <c r="H6" s="1927"/>
      <c r="I6" s="1927"/>
      <c r="J6" s="1927"/>
      <c r="K6" s="1927"/>
      <c r="L6" s="1048"/>
      <c r="M6" s="1048"/>
    </row>
    <row r="7" spans="1:58" ht="11.25" customHeight="1">
      <c r="E7" s="827"/>
      <c r="F7" s="838"/>
      <c r="G7" s="838"/>
      <c r="H7" s="1096"/>
      <c r="I7" s="838"/>
      <c r="J7" s="838"/>
      <c r="K7" s="840"/>
      <c r="L7" s="1045"/>
      <c r="M7" s="1045"/>
      <c r="N7" s="838"/>
      <c r="O7" s="838"/>
      <c r="P7" s="838"/>
      <c r="Q7" s="840"/>
      <c r="R7" s="838"/>
      <c r="S7" s="838"/>
      <c r="T7" s="838"/>
      <c r="U7" s="838"/>
      <c r="V7" s="838"/>
      <c r="W7" s="838"/>
      <c r="X7" s="838"/>
      <c r="Y7" s="838"/>
      <c r="Z7" s="838"/>
      <c r="AA7" s="838"/>
      <c r="AB7" s="838"/>
      <c r="AC7" s="839"/>
      <c r="AD7" s="1044"/>
      <c r="AE7" s="839"/>
      <c r="AF7" s="838"/>
      <c r="AG7" s="838"/>
      <c r="AH7" s="1060"/>
      <c r="AI7" s="1054"/>
      <c r="AJ7" s="838"/>
      <c r="AK7" s="838"/>
      <c r="AL7" s="829"/>
      <c r="AM7" s="829"/>
      <c r="AN7" s="829"/>
      <c r="AO7" s="826"/>
      <c r="AP7" s="826"/>
      <c r="AQ7" s="826"/>
      <c r="AR7" s="826"/>
      <c r="AS7" s="826"/>
      <c r="AT7" s="826"/>
      <c r="AU7" s="826"/>
      <c r="AV7" s="826"/>
      <c r="AW7" s="826"/>
      <c r="AX7" s="826"/>
      <c r="AY7" s="826"/>
      <c r="AZ7" s="826"/>
      <c r="BA7" s="826"/>
      <c r="BB7" s="826"/>
      <c r="BC7" s="826"/>
      <c r="BD7" s="826"/>
      <c r="BE7" s="826"/>
      <c r="BF7" s="826"/>
    </row>
    <row r="8" spans="1:58" ht="10.5" customHeight="1">
      <c r="E8" s="827"/>
      <c r="F8" s="2174" t="s">
        <v>282</v>
      </c>
      <c r="G8" s="2175"/>
      <c r="H8" s="2175"/>
      <c r="I8" s="2175"/>
      <c r="J8" s="2175"/>
      <c r="K8" s="2175"/>
      <c r="L8" s="2175"/>
      <c r="M8" s="2175"/>
      <c r="N8" s="2175"/>
      <c r="O8" s="2175"/>
      <c r="P8" s="2175"/>
      <c r="Q8" s="2175"/>
      <c r="R8" s="2175"/>
      <c r="S8" s="2175"/>
      <c r="T8" s="2175"/>
      <c r="U8" s="2175"/>
      <c r="V8" s="2175"/>
      <c r="W8" s="2175"/>
      <c r="X8" s="2175"/>
      <c r="Y8" s="2175"/>
      <c r="Z8" s="2175"/>
      <c r="AA8" s="2175"/>
      <c r="AB8" s="2175"/>
      <c r="AC8" s="2175"/>
      <c r="AD8" s="2175"/>
      <c r="AE8" s="2175"/>
      <c r="AF8" s="2175"/>
      <c r="AG8" s="2175"/>
      <c r="AH8" s="2175"/>
      <c r="AI8" s="2175"/>
      <c r="AJ8" s="2175"/>
      <c r="AK8" s="2176"/>
      <c r="AL8" s="828"/>
      <c r="AM8" s="826"/>
      <c r="AN8" s="826"/>
      <c r="AO8" s="826"/>
      <c r="AP8" s="826"/>
      <c r="AQ8" s="826"/>
      <c r="AR8" s="826"/>
      <c r="AS8" s="826"/>
      <c r="AT8" s="826"/>
      <c r="AU8" s="826"/>
      <c r="AV8" s="826"/>
      <c r="AW8" s="826"/>
      <c r="AX8" s="826"/>
      <c r="AY8" s="826"/>
      <c r="AZ8" s="826"/>
      <c r="BA8" s="826"/>
      <c r="BB8" s="826"/>
      <c r="BC8" s="826"/>
      <c r="BD8" s="826"/>
      <c r="BE8" s="826"/>
      <c r="BF8" s="826"/>
    </row>
    <row r="9" spans="1:58" ht="23.25" customHeight="1">
      <c r="A9" s="824"/>
      <c r="B9" s="824"/>
      <c r="C9" s="824"/>
      <c r="E9" s="827"/>
      <c r="F9" s="1925" t="s">
        <v>1990</v>
      </c>
      <c r="G9" s="2097" t="s">
        <v>1991</v>
      </c>
      <c r="H9" s="2172"/>
      <c r="I9" s="1840" t="s">
        <v>1992</v>
      </c>
      <c r="J9" s="1840"/>
      <c r="K9" s="1840" t="s">
        <v>1993</v>
      </c>
      <c r="L9" s="1840"/>
      <c r="M9" s="1840"/>
      <c r="N9" s="1840"/>
      <c r="O9" s="1840"/>
      <c r="P9" s="1840"/>
      <c r="Q9" s="1840"/>
      <c r="R9" s="1840"/>
      <c r="S9" s="1840"/>
      <c r="T9" s="1840"/>
      <c r="U9" s="1840"/>
      <c r="V9" s="1840"/>
      <c r="W9" s="1840"/>
      <c r="X9" s="1840"/>
      <c r="Y9" s="1840"/>
      <c r="Z9" s="1895" t="s">
        <v>1994</v>
      </c>
      <c r="AA9" s="1896"/>
      <c r="AB9" s="1840" t="s">
        <v>1995</v>
      </c>
      <c r="AC9" s="1840"/>
      <c r="AD9" s="1840"/>
      <c r="AE9" s="1840"/>
      <c r="AF9" s="1894" t="s">
        <v>1996</v>
      </c>
      <c r="AG9" s="1840" t="s">
        <v>1997</v>
      </c>
      <c r="AH9" s="1840"/>
      <c r="AI9" s="1894" t="s">
        <v>1998</v>
      </c>
      <c r="AJ9" s="1840" t="s">
        <v>1999</v>
      </c>
      <c r="AK9" s="1840"/>
      <c r="AL9" s="1053"/>
      <c r="AM9" s="826"/>
      <c r="AN9" s="826"/>
      <c r="AO9" s="826"/>
      <c r="AP9" s="826"/>
      <c r="AQ9" s="826"/>
      <c r="AR9" s="826"/>
      <c r="AS9" s="826"/>
      <c r="AT9" s="826"/>
      <c r="AU9" s="826"/>
      <c r="AV9" s="826"/>
      <c r="AW9" s="826"/>
      <c r="AX9" s="826"/>
      <c r="AY9" s="826"/>
      <c r="AZ9" s="826"/>
      <c r="BA9" s="826"/>
      <c r="BB9" s="826"/>
      <c r="BC9" s="826"/>
      <c r="BD9" s="826"/>
      <c r="BE9" s="826"/>
      <c r="BF9" s="826"/>
    </row>
    <row r="10" spans="1:58" ht="23.25" customHeight="1">
      <c r="A10" s="824"/>
      <c r="B10" s="824"/>
      <c r="C10" s="824"/>
      <c r="E10" s="831"/>
      <c r="F10" s="1925"/>
      <c r="G10" s="2098"/>
      <c r="H10" s="1926"/>
      <c r="I10" s="1840"/>
      <c r="J10" s="1840"/>
      <c r="K10" s="1840" t="s">
        <v>2000</v>
      </c>
      <c r="L10" s="1822" t="s">
        <v>2001</v>
      </c>
      <c r="M10" s="1821"/>
      <c r="N10" s="1840" t="s">
        <v>2002</v>
      </c>
      <c r="O10" s="1840"/>
      <c r="P10" s="1840"/>
      <c r="Q10" s="1840"/>
      <c r="R10" s="1840"/>
      <c r="S10" s="1840"/>
      <c r="T10" s="1840"/>
      <c r="U10" s="1840"/>
      <c r="V10" s="1840"/>
      <c r="W10" s="1840"/>
      <c r="X10" s="1840"/>
      <c r="Y10" s="1840"/>
      <c r="Z10" s="1897"/>
      <c r="AA10" s="1898"/>
      <c r="AB10" s="1840"/>
      <c r="AC10" s="1840"/>
      <c r="AD10" s="1840"/>
      <c r="AE10" s="1840"/>
      <c r="AF10" s="1899"/>
      <c r="AG10" s="1840"/>
      <c r="AH10" s="1840"/>
      <c r="AI10" s="1899"/>
      <c r="AJ10" s="1840"/>
      <c r="AK10" s="1840"/>
      <c r="AL10" s="1053"/>
      <c r="AM10" s="832"/>
      <c r="AN10" s="832"/>
      <c r="AO10" s="832"/>
      <c r="AP10" s="832"/>
      <c r="AQ10" s="832"/>
      <c r="AR10" s="832"/>
      <c r="AS10" s="832"/>
      <c r="AT10" s="832"/>
      <c r="AU10" s="832"/>
      <c r="AV10" s="832"/>
      <c r="AW10" s="832"/>
      <c r="AX10" s="832"/>
      <c r="AY10" s="832"/>
      <c r="AZ10" s="832"/>
      <c r="BA10" s="832"/>
      <c r="BB10" s="832"/>
      <c r="BC10" s="832"/>
      <c r="BD10" s="832"/>
      <c r="BE10" s="832"/>
      <c r="BF10" s="832"/>
    </row>
    <row r="11" spans="1:58" s="1560" customFormat="1" ht="23.25" customHeight="1">
      <c r="A11" s="1041"/>
      <c r="B11" s="1041"/>
      <c r="C11" s="1041"/>
      <c r="D11" s="1040"/>
      <c r="E11" s="1042"/>
      <c r="F11" s="1925"/>
      <c r="G11" s="2098"/>
      <c r="H11" s="1926"/>
      <c r="I11" s="1840"/>
      <c r="J11" s="1840"/>
      <c r="K11" s="1840"/>
      <c r="L11" s="1894" t="s">
        <v>2003</v>
      </c>
      <c r="M11" s="1894" t="s">
        <v>2004</v>
      </c>
      <c r="N11" s="1840" t="s">
        <v>2005</v>
      </c>
      <c r="O11" s="1840"/>
      <c r="P11" s="1892" t="s">
        <v>1986</v>
      </c>
      <c r="Q11" s="1892" t="s">
        <v>2006</v>
      </c>
      <c r="R11" s="1892" t="s">
        <v>2007</v>
      </c>
      <c r="S11" s="1892" t="s">
        <v>2008</v>
      </c>
      <c r="T11" s="1892"/>
      <c r="U11" s="1892"/>
      <c r="V11" s="1892"/>
      <c r="W11" s="1892"/>
      <c r="X11" s="1892"/>
      <c r="Y11" s="1892"/>
      <c r="Z11" s="1897"/>
      <c r="AA11" s="1898"/>
      <c r="AB11" s="1840" t="s">
        <v>2009</v>
      </c>
      <c r="AC11" s="1840"/>
      <c r="AD11" s="1822" t="s">
        <v>2010</v>
      </c>
      <c r="AE11" s="1821"/>
      <c r="AF11" s="1899"/>
      <c r="AG11" s="1840"/>
      <c r="AH11" s="1840"/>
      <c r="AI11" s="1899"/>
      <c r="AJ11" s="1840"/>
      <c r="AK11" s="1840"/>
      <c r="AL11" s="1053"/>
      <c r="AM11" s="1039"/>
      <c r="AN11" s="1039"/>
      <c r="AO11" s="1039"/>
      <c r="AP11" s="1039"/>
      <c r="AQ11" s="1039"/>
      <c r="AR11" s="1039"/>
      <c r="AS11" s="1039"/>
      <c r="AT11" s="1039"/>
      <c r="AU11" s="1039"/>
      <c r="AV11" s="1039"/>
      <c r="AW11" s="1039"/>
      <c r="AX11" s="1039"/>
      <c r="AY11" s="1039"/>
      <c r="AZ11" s="1039"/>
      <c r="BA11" s="1039"/>
      <c r="BB11" s="1039"/>
      <c r="BC11" s="1039"/>
      <c r="BD11" s="1039"/>
      <c r="BE11" s="1039"/>
      <c r="BF11" s="1039"/>
    </row>
    <row r="12" spans="1:58" ht="33.75" customHeight="1">
      <c r="A12" s="824"/>
      <c r="B12" s="824"/>
      <c r="C12" s="824"/>
      <c r="E12" s="827"/>
      <c r="F12" s="1925"/>
      <c r="G12" s="2099"/>
      <c r="H12" s="2173"/>
      <c r="I12" s="1063" t="s">
        <v>88</v>
      </c>
      <c r="J12" s="1063" t="s">
        <v>2011</v>
      </c>
      <c r="K12" s="1840"/>
      <c r="L12" s="1950"/>
      <c r="M12" s="1950"/>
      <c r="N12" s="1840"/>
      <c r="O12" s="1840"/>
      <c r="P12" s="1892"/>
      <c r="Q12" s="1892"/>
      <c r="R12" s="1892"/>
      <c r="S12" s="1046" t="s">
        <v>85</v>
      </c>
      <c r="T12" s="1046" t="s">
        <v>86</v>
      </c>
      <c r="U12" s="1046" t="s">
        <v>84</v>
      </c>
      <c r="V12" s="1046" t="s">
        <v>2012</v>
      </c>
      <c r="W12" s="1046" t="s">
        <v>84</v>
      </c>
      <c r="X12" s="1046" t="s">
        <v>2013</v>
      </c>
      <c r="Y12" s="1046" t="s">
        <v>2014</v>
      </c>
      <c r="Z12" s="1900"/>
      <c r="AA12" s="1901"/>
      <c r="AB12" s="1052" t="s">
        <v>2015</v>
      </c>
      <c r="AC12" s="1052" t="s">
        <v>2016</v>
      </c>
      <c r="AD12" s="1052" t="s">
        <v>2015</v>
      </c>
      <c r="AE12" s="1052" t="s">
        <v>2016</v>
      </c>
      <c r="AF12" s="1950"/>
      <c r="AG12" s="1064" t="s">
        <v>2017</v>
      </c>
      <c r="AH12" s="1064" t="s">
        <v>2018</v>
      </c>
      <c r="AI12" s="1950"/>
      <c r="AJ12" s="1064" t="s">
        <v>2017</v>
      </c>
      <c r="AK12" s="1064" t="s">
        <v>2018</v>
      </c>
      <c r="AL12" s="1053"/>
      <c r="AM12" s="826"/>
      <c r="AN12" s="826"/>
      <c r="AO12" s="826"/>
      <c r="AP12" s="826"/>
      <c r="AQ12" s="826"/>
      <c r="AR12" s="826"/>
      <c r="AS12" s="826"/>
      <c r="AT12" s="826"/>
      <c r="AU12" s="826"/>
      <c r="AV12" s="826"/>
      <c r="AW12" s="826"/>
      <c r="AX12" s="826"/>
      <c r="AY12" s="826"/>
      <c r="AZ12" s="826"/>
      <c r="BA12" s="826"/>
      <c r="BB12" s="826"/>
      <c r="BC12" s="826"/>
      <c r="BD12" s="826"/>
      <c r="BE12" s="826"/>
      <c r="BF12" s="826"/>
    </row>
    <row r="13" spans="1:58" ht="0.75" customHeight="1">
      <c r="E13" s="827"/>
      <c r="F13" s="1037">
        <v>0</v>
      </c>
      <c r="G13" s="1037"/>
      <c r="H13" s="1037"/>
      <c r="I13" s="1037"/>
      <c r="J13" s="1037"/>
      <c r="K13" s="1043"/>
      <c r="L13" s="1043"/>
      <c r="M13" s="1043"/>
      <c r="N13" s="1043"/>
      <c r="O13" s="1043"/>
      <c r="P13" s="1043"/>
      <c r="Q13" s="1043"/>
      <c r="R13" s="1043"/>
      <c r="S13" s="1043"/>
      <c r="T13" s="1043"/>
      <c r="U13" s="1043"/>
      <c r="V13" s="1043"/>
      <c r="W13" s="1043"/>
      <c r="X13" s="1043"/>
      <c r="Y13" s="1043"/>
      <c r="Z13" s="1043"/>
      <c r="AA13" s="1043"/>
      <c r="AB13" s="1043"/>
      <c r="AC13" s="1043"/>
      <c r="AD13" s="1043"/>
      <c r="AE13" s="1043"/>
      <c r="AF13" s="1043"/>
      <c r="AG13" s="1043"/>
      <c r="AH13" s="1059"/>
      <c r="AI13" s="1053"/>
      <c r="AJ13" s="1043"/>
      <c r="AK13" s="1043"/>
      <c r="AL13" s="828"/>
      <c r="AM13" s="826"/>
      <c r="AN13" s="826"/>
      <c r="AO13" s="826"/>
      <c r="AP13" s="826"/>
      <c r="AQ13" s="826"/>
      <c r="AR13" s="826"/>
      <c r="AS13" s="826"/>
      <c r="AT13" s="826"/>
      <c r="AU13" s="826"/>
      <c r="AV13" s="826"/>
      <c r="AW13" s="826"/>
      <c r="AX13" s="826"/>
      <c r="AY13" s="826"/>
      <c r="AZ13" s="826"/>
      <c r="BA13" s="826"/>
      <c r="BB13" s="826"/>
      <c r="BC13" s="826"/>
      <c r="BD13" s="826"/>
      <c r="BE13" s="826"/>
      <c r="BF13" s="826"/>
    </row>
    <row r="14" spans="1:58" ht="10.5" customHeight="1">
      <c r="E14" s="826"/>
      <c r="F14" s="837"/>
      <c r="G14" s="837"/>
      <c r="H14" s="1083"/>
      <c r="I14" s="837"/>
      <c r="J14" s="837"/>
      <c r="K14" s="837"/>
      <c r="L14" s="1043"/>
      <c r="M14" s="1043"/>
      <c r="N14" s="837"/>
      <c r="O14" s="837"/>
      <c r="P14" s="837"/>
      <c r="Q14" s="837"/>
      <c r="R14" s="837"/>
      <c r="S14" s="837"/>
      <c r="T14" s="837"/>
      <c r="U14" s="837"/>
      <c r="V14" s="837"/>
      <c r="W14" s="837"/>
      <c r="X14" s="837"/>
      <c r="Y14" s="837"/>
      <c r="Z14" s="837"/>
      <c r="AA14" s="837"/>
      <c r="AB14" s="837"/>
      <c r="AC14" s="837"/>
      <c r="AD14" s="1043"/>
      <c r="AE14" s="837"/>
      <c r="AF14" s="837"/>
      <c r="AG14" s="837"/>
      <c r="AH14" s="1059"/>
      <c r="AI14" s="1053"/>
      <c r="AJ14" s="837"/>
      <c r="AK14" s="837"/>
      <c r="AL14" s="826"/>
      <c r="AM14" s="826"/>
      <c r="AN14" s="826"/>
      <c r="AO14" s="826"/>
      <c r="AP14" s="826"/>
      <c r="AQ14" s="826"/>
      <c r="AR14" s="826"/>
      <c r="AS14" s="826"/>
      <c r="AT14" s="826"/>
      <c r="AU14" s="826"/>
      <c r="AV14" s="826"/>
      <c r="AW14" s="826"/>
      <c r="AX14" s="826"/>
      <c r="AY14" s="826"/>
      <c r="AZ14" s="826"/>
      <c r="BA14" s="826"/>
      <c r="BB14" s="826"/>
      <c r="BC14" s="826"/>
      <c r="BD14" s="826"/>
      <c r="BE14" s="826"/>
      <c r="BF14" s="826"/>
    </row>
    <row r="15" spans="1:58" ht="12.75" customHeight="1">
      <c r="E15" s="826"/>
      <c r="F15" s="833" t="s">
        <v>2019</v>
      </c>
      <c r="G15" s="833"/>
      <c r="H15" s="1082"/>
      <c r="I15" s="833"/>
      <c r="J15" s="833"/>
      <c r="K15" s="830"/>
      <c r="L15" s="1039"/>
      <c r="M15" s="1039"/>
      <c r="N15" s="832"/>
      <c r="O15" s="832"/>
      <c r="P15" s="832"/>
      <c r="Q15" s="832"/>
      <c r="R15" s="832"/>
      <c r="S15" s="832"/>
      <c r="T15" s="832"/>
      <c r="U15" s="832"/>
      <c r="V15" s="832"/>
      <c r="W15" s="832"/>
      <c r="X15" s="832"/>
      <c r="Y15" s="832"/>
      <c r="Z15" s="830"/>
      <c r="AA15" s="830"/>
      <c r="AB15" s="830"/>
      <c r="AC15" s="830"/>
      <c r="AD15" s="1039"/>
      <c r="AE15" s="830"/>
      <c r="AF15" s="830"/>
      <c r="AG15" s="830"/>
      <c r="AH15" s="1056"/>
      <c r="AI15" s="1050"/>
      <c r="AJ15" s="830"/>
      <c r="AK15" s="830"/>
      <c r="AL15" s="826"/>
      <c r="AM15" s="826"/>
      <c r="AN15" s="826"/>
      <c r="AO15" s="826"/>
      <c r="AP15" s="826"/>
      <c r="AQ15" s="826"/>
      <c r="AR15" s="826"/>
      <c r="AS15" s="826"/>
      <c r="AT15" s="826"/>
      <c r="AU15" s="826"/>
      <c r="AV15" s="826"/>
      <c r="AW15" s="826"/>
      <c r="AX15" s="826"/>
      <c r="AY15" s="826"/>
      <c r="AZ15" s="826"/>
      <c r="BA15" s="826"/>
      <c r="BB15" s="826"/>
      <c r="BC15" s="826"/>
      <c r="BD15" s="826"/>
      <c r="BE15" s="826"/>
      <c r="BF15" s="826"/>
    </row>
    <row r="17" spans="5:58" ht="10.5" customHeight="1">
      <c r="E17" s="826"/>
      <c r="F17" s="2171"/>
      <c r="G17" s="2171"/>
      <c r="H17" s="2171"/>
      <c r="I17" s="2171"/>
      <c r="J17" s="2171"/>
      <c r="K17" s="830"/>
      <c r="L17" s="1039"/>
      <c r="M17" s="1039"/>
      <c r="N17" s="832"/>
      <c r="O17" s="832"/>
      <c r="P17" s="832"/>
      <c r="Q17" s="832"/>
      <c r="R17" s="832"/>
      <c r="S17" s="832"/>
      <c r="T17" s="832"/>
      <c r="U17" s="832"/>
      <c r="V17" s="832"/>
      <c r="W17" s="832"/>
      <c r="X17" s="832"/>
      <c r="Y17" s="832"/>
      <c r="Z17" s="830"/>
      <c r="AA17" s="830"/>
      <c r="AB17" s="830"/>
      <c r="AC17" s="830"/>
      <c r="AD17" s="1039"/>
      <c r="AE17" s="830"/>
      <c r="AF17" s="830"/>
      <c r="AG17" s="830"/>
      <c r="AH17" s="1056"/>
      <c r="AI17" s="1050"/>
      <c r="AJ17" s="830"/>
      <c r="AK17" s="830"/>
      <c r="AL17" s="826"/>
      <c r="AM17" s="826"/>
      <c r="AN17" s="826"/>
      <c r="AO17" s="826"/>
      <c r="AP17" s="826"/>
      <c r="AQ17" s="826"/>
      <c r="AR17" s="826"/>
      <c r="AS17" s="826"/>
      <c r="AT17" s="826"/>
      <c r="AU17" s="826"/>
      <c r="AV17" s="826"/>
      <c r="AW17" s="826"/>
      <c r="AX17" s="826"/>
      <c r="AY17" s="826"/>
      <c r="AZ17" s="826"/>
      <c r="BA17" s="826"/>
      <c r="BB17" s="826"/>
      <c r="BC17" s="826"/>
      <c r="BD17" s="826"/>
      <c r="BE17" s="826"/>
      <c r="BF17" s="826"/>
    </row>
    <row r="18" spans="5:58" ht="10.5" customHeight="1">
      <c r="E18" s="826"/>
      <c r="F18" s="2171"/>
      <c r="G18" s="2171"/>
      <c r="H18" s="2171"/>
      <c r="I18" s="2171"/>
      <c r="J18" s="2171"/>
      <c r="K18" s="830"/>
      <c r="L18" s="1039"/>
      <c r="M18" s="1039"/>
      <c r="N18" s="832"/>
      <c r="O18" s="832"/>
      <c r="P18" s="832"/>
      <c r="Q18" s="832"/>
      <c r="R18" s="832"/>
      <c r="S18" s="832"/>
      <c r="T18" s="832"/>
      <c r="U18" s="832"/>
      <c r="V18" s="832"/>
      <c r="W18" s="832"/>
      <c r="X18" s="832"/>
      <c r="Y18" s="832"/>
      <c r="Z18" s="830"/>
      <c r="AA18" s="830"/>
      <c r="AB18" s="830"/>
      <c r="AC18" s="830"/>
      <c r="AD18" s="1039"/>
      <c r="AE18" s="830"/>
      <c r="AF18" s="830"/>
      <c r="AG18" s="830"/>
      <c r="AH18" s="1056"/>
      <c r="AI18" s="1050"/>
      <c r="AJ18" s="830"/>
      <c r="AK18" s="830"/>
      <c r="AL18" s="826"/>
      <c r="AM18" s="826"/>
      <c r="AN18" s="826"/>
      <c r="AO18" s="826"/>
      <c r="AP18" s="826"/>
      <c r="AQ18" s="826"/>
      <c r="AR18" s="826"/>
      <c r="AS18" s="826"/>
      <c r="AT18" s="826"/>
      <c r="AU18" s="826"/>
      <c r="AV18" s="826"/>
      <c r="AW18" s="826"/>
      <c r="AX18" s="826"/>
      <c r="AY18" s="826"/>
      <c r="AZ18" s="826"/>
      <c r="BA18" s="826"/>
      <c r="BB18" s="826"/>
      <c r="BC18" s="826"/>
      <c r="BD18" s="826"/>
      <c r="BE18" s="826"/>
      <c r="BF18" s="826"/>
    </row>
    <row r="19" spans="5:58" ht="10.5" customHeight="1">
      <c r="E19" s="826"/>
      <c r="F19" s="2171"/>
      <c r="G19" s="2171"/>
      <c r="H19" s="2171"/>
      <c r="I19" s="2171"/>
      <c r="J19" s="2171"/>
      <c r="K19" s="830"/>
      <c r="L19" s="1039"/>
      <c r="M19" s="1039"/>
      <c r="N19" s="832"/>
      <c r="O19" s="832"/>
      <c r="P19" s="832"/>
      <c r="Q19" s="832"/>
      <c r="R19" s="832"/>
      <c r="S19" s="832"/>
      <c r="T19" s="832"/>
      <c r="U19" s="832"/>
      <c r="V19" s="832"/>
      <c r="W19" s="832"/>
      <c r="X19" s="832"/>
      <c r="Y19" s="832"/>
      <c r="Z19" s="830"/>
      <c r="AA19" s="830"/>
      <c r="AB19" s="830"/>
      <c r="AC19" s="830"/>
      <c r="AD19" s="1039"/>
      <c r="AE19" s="830"/>
      <c r="AF19" s="830"/>
      <c r="AG19" s="830"/>
      <c r="AH19" s="1056"/>
      <c r="AI19" s="1050"/>
      <c r="AJ19" s="830"/>
      <c r="AK19" s="830"/>
      <c r="AL19" s="826"/>
      <c r="AM19" s="826"/>
      <c r="AN19" s="826"/>
      <c r="AO19" s="826"/>
      <c r="AP19" s="826"/>
      <c r="AQ19" s="826"/>
      <c r="AR19" s="826"/>
      <c r="AS19" s="826"/>
      <c r="AT19" s="826"/>
      <c r="AU19" s="826"/>
      <c r="AV19" s="826"/>
      <c r="AW19" s="826"/>
      <c r="AX19" s="826"/>
      <c r="AY19" s="826"/>
      <c r="AZ19" s="826"/>
      <c r="BA19" s="826"/>
      <c r="BB19" s="826"/>
      <c r="BC19" s="826"/>
      <c r="BD19" s="826"/>
      <c r="BE19" s="826"/>
      <c r="BF19" s="826"/>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076" hidden="1" customWidth="1"/>
    <col min="4" max="4" width="4.09765625" style="1292" hidden="1" customWidth="1"/>
    <col min="5" max="5" width="3.69921875" style="1560" customWidth="1"/>
    <col min="6" max="6" width="6.296875" style="1560" customWidth="1"/>
    <col min="7" max="7" width="60.09765625" style="1560" customWidth="1"/>
    <col min="8" max="9" width="21.69921875" style="1560" hidden="1" customWidth="1"/>
    <col min="10" max="10" width="9.765625E-2" style="1560" customWidth="1"/>
    <col min="11" max="11" width="1.69921875" style="1560" customWidth="1"/>
    <col min="12" max="22" width="9.09765625" style="1560"/>
  </cols>
  <sheetData>
    <row r="1" spans="1:22" s="1292" customFormat="1" ht="10.5" hidden="1" customHeight="1">
      <c r="A1" s="1076"/>
      <c r="B1" s="1076"/>
      <c r="C1" s="1076"/>
      <c r="E1" s="462"/>
    </row>
    <row r="2" spans="1:22" ht="10.5" hidden="1" customHeight="1"/>
    <row r="3" spans="1:22" s="1557" customFormat="1" ht="10.5" hidden="1" customHeight="1">
      <c r="A3" s="1076"/>
      <c r="B3" s="1076"/>
      <c r="C3" s="1076"/>
      <c r="D3" s="1070"/>
      <c r="E3" s="285"/>
    </row>
    <row r="4" spans="1:22" ht="3" customHeight="1"/>
    <row r="5" spans="1:22" ht="30" customHeight="1">
      <c r="F5" s="2067" t="s">
        <v>2020</v>
      </c>
      <c r="G5" s="2067"/>
      <c r="H5" s="2067"/>
      <c r="I5" s="2067"/>
      <c r="J5" s="2067"/>
    </row>
    <row r="6" spans="1:22" ht="10.5" customHeight="1">
      <c r="F6" s="1927" t="str">
        <f>IF(org=0,"Не определено",org)</f>
        <v>НАО "СВЕЗА Мантурово"</v>
      </c>
      <c r="G6" s="1927"/>
      <c r="H6" s="1927"/>
      <c r="I6" s="1927"/>
      <c r="J6" s="1927"/>
    </row>
    <row r="7" spans="1:22" ht="11.25" customHeight="1">
      <c r="E7" s="1080"/>
      <c r="F7" s="1146"/>
      <c r="G7" s="1146"/>
      <c r="H7" s="1146"/>
      <c r="I7" s="1146"/>
      <c r="J7" s="1146"/>
      <c r="K7" s="1067"/>
      <c r="L7" s="1067"/>
      <c r="M7" s="1067"/>
      <c r="N7" s="1067"/>
      <c r="O7" s="1067"/>
      <c r="P7" s="1067"/>
      <c r="Q7" s="1067"/>
      <c r="R7" s="1067"/>
      <c r="S7" s="1067"/>
      <c r="T7" s="1067"/>
      <c r="U7" s="1067"/>
      <c r="V7" s="1067"/>
    </row>
    <row r="8" spans="1:22" s="1567" customFormat="1" ht="5.25" customHeight="1">
      <c r="A8" s="1077"/>
      <c r="B8" s="1077"/>
      <c r="C8" s="1077"/>
      <c r="E8" s="1147"/>
      <c r="F8" s="1148"/>
      <c r="G8" s="1148"/>
      <c r="H8" s="1148"/>
      <c r="I8" s="1148"/>
      <c r="J8" s="1148"/>
      <c r="K8" s="1147"/>
      <c r="L8" s="1147"/>
      <c r="M8" s="1147"/>
      <c r="N8" s="1147"/>
      <c r="O8" s="1147"/>
      <c r="P8" s="1147"/>
      <c r="Q8" s="1147"/>
      <c r="R8" s="1147"/>
      <c r="S8" s="1147"/>
      <c r="T8" s="1147"/>
      <c r="U8" s="1147"/>
      <c r="V8" s="1147"/>
    </row>
    <row r="9" spans="1:22" ht="10.5" customHeight="1">
      <c r="E9" s="1080"/>
      <c r="F9" s="2177" t="s">
        <v>282</v>
      </c>
      <c r="G9" s="2178"/>
      <c r="H9" s="2178"/>
      <c r="I9" s="2178"/>
      <c r="J9" s="2178"/>
      <c r="K9" s="1159"/>
      <c r="L9" s="1067"/>
      <c r="M9" s="1067"/>
      <c r="N9" s="1067"/>
      <c r="O9" s="1067"/>
      <c r="P9" s="1067"/>
      <c r="Q9" s="1067"/>
      <c r="R9" s="1067"/>
      <c r="S9" s="1067"/>
      <c r="T9" s="1067"/>
      <c r="U9" s="1067"/>
      <c r="V9" s="1067"/>
    </row>
    <row r="10" spans="1:22" ht="24" customHeight="1">
      <c r="E10" s="1067"/>
      <c r="F10" s="2181" t="s">
        <v>87</v>
      </c>
      <c r="G10" s="2185" t="s">
        <v>2021</v>
      </c>
      <c r="H10" s="2169" t="s">
        <v>2022</v>
      </c>
      <c r="I10" s="2169"/>
      <c r="J10" s="2169"/>
      <c r="K10" s="1152"/>
      <c r="L10" s="1067"/>
      <c r="M10" s="1067"/>
      <c r="N10" s="1067"/>
      <c r="O10" s="1067"/>
      <c r="P10" s="1067"/>
      <c r="Q10" s="1067"/>
      <c r="R10" s="1067"/>
      <c r="S10" s="1067"/>
      <c r="T10" s="1067"/>
      <c r="U10" s="1067"/>
      <c r="V10" s="1067"/>
    </row>
    <row r="11" spans="1:22" ht="24" customHeight="1">
      <c r="E11" s="1067"/>
      <c r="F11" s="2182"/>
      <c r="G11" s="2185"/>
      <c r="H11" s="2184" t="e">
        <f>INDEX(IP_MAIN_LIST_NAME_IP,MATCH(H8,IP_MAIN_LIST_IP_ID,0))&amp;" ("&amp;INDEX(IP_MAIN_START_DATE,MATCH(H8,IP_MAIN_LIST_IP_ID,0))&amp;"-"&amp;INDEX(IP_MAIN_END_DATE,MATCH(H8,IP_MAIN_LIST_IP_ID,0))&amp;")"</f>
        <v>#N/A</v>
      </c>
      <c r="I11" s="2184"/>
      <c r="J11" s="2184"/>
      <c r="K11" s="1152"/>
      <c r="L11" s="1067"/>
      <c r="M11" s="1067"/>
      <c r="N11" s="1067"/>
      <c r="O11" s="1067"/>
      <c r="P11" s="1067"/>
      <c r="Q11" s="1067"/>
      <c r="R11" s="1067"/>
      <c r="S11" s="1067"/>
      <c r="T11" s="1067"/>
      <c r="U11" s="1067"/>
      <c r="V11" s="1067"/>
    </row>
    <row r="12" spans="1:22" ht="10.5" customHeight="1">
      <c r="F12" s="2183"/>
      <c r="G12" s="2185"/>
      <c r="H12" s="1145" t="s">
        <v>2023</v>
      </c>
      <c r="I12" s="1151"/>
      <c r="J12" s="1145"/>
      <c r="K12" s="1153"/>
    </row>
    <row r="13" spans="1:22" ht="10.5" hidden="1" customHeight="1">
      <c r="F13" s="1145">
        <v>1</v>
      </c>
      <c r="G13" s="1145">
        <v>2</v>
      </c>
      <c r="H13" s="1145">
        <v>3</v>
      </c>
      <c r="I13" s="1145">
        <v>4</v>
      </c>
      <c r="J13" s="1145">
        <v>5</v>
      </c>
      <c r="K13" s="1153"/>
    </row>
    <row r="14" spans="1:22" ht="11.25" customHeight="1">
      <c r="F14" s="1144" t="s">
        <v>1084</v>
      </c>
      <c r="G14" s="2179" t="s">
        <v>2024</v>
      </c>
      <c r="H14" s="2179"/>
      <c r="I14" s="2179"/>
      <c r="J14" s="2179"/>
      <c r="K14" s="1153"/>
    </row>
    <row r="15" spans="1:22" ht="11.25" customHeight="1">
      <c r="F15" s="1149">
        <v>1</v>
      </c>
      <c r="G15" s="610" t="s">
        <v>2025</v>
      </c>
      <c r="H15" s="1155">
        <f t="shared" ref="H15:H36" si="0">SUM(I15:J15)</f>
        <v>0</v>
      </c>
      <c r="I15" s="1155">
        <f>SUM(I16:I27)</f>
        <v>0</v>
      </c>
      <c r="J15" s="1144"/>
      <c r="K15" s="1153"/>
    </row>
    <row r="16" spans="1:22" ht="22.5" customHeight="1">
      <c r="F16" s="1149" t="s">
        <v>441</v>
      </c>
      <c r="G16" s="1156" t="s">
        <v>1032</v>
      </c>
      <c r="H16" s="1155">
        <f t="shared" si="0"/>
        <v>0</v>
      </c>
      <c r="I16" s="1154"/>
      <c r="J16" s="1144"/>
      <c r="K16" s="1153"/>
    </row>
    <row r="17" spans="6:11" ht="22.5" customHeight="1">
      <c r="F17" s="1149" t="s">
        <v>456</v>
      </c>
      <c r="G17" s="1156" t="s">
        <v>1037</v>
      </c>
      <c r="H17" s="1155">
        <f t="shared" si="0"/>
        <v>0</v>
      </c>
      <c r="I17" s="1154"/>
      <c r="J17" s="1144"/>
      <c r="K17" s="1153"/>
    </row>
    <row r="18" spans="6:11" ht="33.75" customHeight="1">
      <c r="F18" s="1149" t="s">
        <v>459</v>
      </c>
      <c r="G18" s="1156" t="s">
        <v>1024</v>
      </c>
      <c r="H18" s="1155">
        <f t="shared" si="0"/>
        <v>0</v>
      </c>
      <c r="I18" s="1154"/>
      <c r="J18" s="1144"/>
      <c r="K18" s="1153"/>
    </row>
    <row r="19" spans="6:11" ht="33.75" customHeight="1">
      <c r="F19" s="1149" t="s">
        <v>2026</v>
      </c>
      <c r="G19" s="1156" t="s">
        <v>1062</v>
      </c>
      <c r="H19" s="1155">
        <f t="shared" si="0"/>
        <v>0</v>
      </c>
      <c r="I19" s="1154"/>
      <c r="J19" s="1144"/>
      <c r="K19" s="1153"/>
    </row>
    <row r="20" spans="6:11" ht="45" customHeight="1">
      <c r="F20" s="1149" t="s">
        <v>2027</v>
      </c>
      <c r="G20" s="1156" t="s">
        <v>1067</v>
      </c>
      <c r="H20" s="1155">
        <f t="shared" si="0"/>
        <v>0</v>
      </c>
      <c r="I20" s="1154"/>
      <c r="J20" s="1144"/>
      <c r="K20" s="1153"/>
    </row>
    <row r="21" spans="6:11" ht="33.75" customHeight="1">
      <c r="F21" s="1149" t="s">
        <v>2028</v>
      </c>
      <c r="G21" s="1156" t="s">
        <v>1074</v>
      </c>
      <c r="H21" s="1155">
        <f t="shared" si="0"/>
        <v>0</v>
      </c>
      <c r="I21" s="1154"/>
      <c r="J21" s="1144"/>
      <c r="K21" s="1153"/>
    </row>
    <row r="22" spans="6:11" ht="33.75" customHeight="1">
      <c r="F22" s="1149" t="s">
        <v>2029</v>
      </c>
      <c r="G22" s="1156" t="s">
        <v>1081</v>
      </c>
      <c r="H22" s="1155">
        <f t="shared" si="0"/>
        <v>0</v>
      </c>
      <c r="I22" s="1154"/>
      <c r="J22" s="1144"/>
      <c r="K22" s="1153"/>
    </row>
    <row r="23" spans="6:11" ht="22.5" customHeight="1">
      <c r="F23" s="1149" t="s">
        <v>2030</v>
      </c>
      <c r="G23" s="1156" t="s">
        <v>1086</v>
      </c>
      <c r="H23" s="1155">
        <f t="shared" si="0"/>
        <v>0</v>
      </c>
      <c r="I23" s="1154"/>
      <c r="J23" s="1144"/>
      <c r="K23" s="1153"/>
    </row>
    <row r="24" spans="6:11" ht="22.5" customHeight="1">
      <c r="F24" s="1149" t="s">
        <v>2031</v>
      </c>
      <c r="G24" s="1156" t="s">
        <v>1058</v>
      </c>
      <c r="H24" s="1155">
        <f t="shared" si="0"/>
        <v>0</v>
      </c>
      <c r="I24" s="1154"/>
      <c r="J24" s="1144"/>
      <c r="K24" s="1153"/>
    </row>
    <row r="25" spans="6:11" ht="33.75" customHeight="1">
      <c r="F25" s="1149" t="s">
        <v>2032</v>
      </c>
      <c r="G25" s="1156" t="s">
        <v>1125</v>
      </c>
      <c r="H25" s="1155">
        <f t="shared" si="0"/>
        <v>0</v>
      </c>
      <c r="I25" s="1154"/>
      <c r="J25" s="1144"/>
      <c r="K25" s="1153"/>
    </row>
    <row r="26" spans="6:11" ht="33.75" customHeight="1">
      <c r="F26" s="1149" t="s">
        <v>2033</v>
      </c>
      <c r="G26" s="1156" t="s">
        <v>1127</v>
      </c>
      <c r="H26" s="1155">
        <f t="shared" si="0"/>
        <v>0</v>
      </c>
      <c r="I26" s="1154"/>
      <c r="J26" s="1144"/>
      <c r="K26" s="1153"/>
    </row>
    <row r="27" spans="6:11" ht="11.25" customHeight="1">
      <c r="F27" s="1149" t="s">
        <v>2034</v>
      </c>
      <c r="G27" s="1156" t="s">
        <v>1036</v>
      </c>
      <c r="H27" s="1155">
        <f t="shared" si="0"/>
        <v>0</v>
      </c>
      <c r="I27" s="1154"/>
      <c r="J27" s="1144"/>
      <c r="K27" s="1153"/>
    </row>
    <row r="28" spans="6:11" ht="11.25" customHeight="1">
      <c r="F28" s="1149">
        <v>2</v>
      </c>
      <c r="G28" s="610" t="s">
        <v>2035</v>
      </c>
      <c r="H28" s="1155">
        <f t="shared" si="0"/>
        <v>0</v>
      </c>
      <c r="I28" s="1155">
        <f>SUM(I29:I31)</f>
        <v>0</v>
      </c>
      <c r="J28" s="1144"/>
      <c r="K28" s="1153"/>
    </row>
    <row r="29" spans="6:11" ht="11.25" customHeight="1">
      <c r="F29" s="1149" t="s">
        <v>466</v>
      </c>
      <c r="G29" s="1156" t="s">
        <v>2036</v>
      </c>
      <c r="H29" s="1155">
        <f t="shared" si="0"/>
        <v>0</v>
      </c>
      <c r="I29" s="1154"/>
      <c r="J29" s="1144"/>
      <c r="K29" s="1153"/>
    </row>
    <row r="30" spans="6:11" ht="11.25" customHeight="1">
      <c r="F30" s="1149" t="s">
        <v>290</v>
      </c>
      <c r="G30" s="1156" t="s">
        <v>1033</v>
      </c>
      <c r="H30" s="1155">
        <f t="shared" si="0"/>
        <v>0</v>
      </c>
      <c r="I30" s="1154"/>
      <c r="J30" s="1144"/>
      <c r="K30" s="1153"/>
    </row>
    <row r="31" spans="6:11" ht="11.25" customHeight="1">
      <c r="F31" s="1149" t="s">
        <v>293</v>
      </c>
      <c r="G31" s="1156" t="s">
        <v>1080</v>
      </c>
      <c r="H31" s="1155">
        <f t="shared" si="0"/>
        <v>0</v>
      </c>
      <c r="I31" s="1154"/>
      <c r="J31" s="1144"/>
      <c r="K31" s="1153"/>
    </row>
    <row r="32" spans="6:11" ht="11.25" customHeight="1">
      <c r="F32" s="1149">
        <v>3</v>
      </c>
      <c r="G32" s="610" t="s">
        <v>2037</v>
      </c>
      <c r="H32" s="1155">
        <f t="shared" si="0"/>
        <v>0</v>
      </c>
      <c r="I32" s="1155">
        <f>SUM(I33:I34)</f>
        <v>0</v>
      </c>
      <c r="J32" s="1144"/>
      <c r="K32" s="1153"/>
    </row>
    <row r="33" spans="6:11" ht="33.75" customHeight="1">
      <c r="F33" s="1149" t="s">
        <v>311</v>
      </c>
      <c r="G33" s="1156" t="s">
        <v>2038</v>
      </c>
      <c r="H33" s="1155">
        <f t="shared" si="0"/>
        <v>0</v>
      </c>
      <c r="I33" s="1154"/>
      <c r="J33" s="1144"/>
      <c r="K33" s="1153"/>
    </row>
    <row r="34" spans="6:11" ht="11.25" customHeight="1">
      <c r="F34" s="1149" t="s">
        <v>319</v>
      </c>
      <c r="G34" s="1156" t="s">
        <v>2039</v>
      </c>
      <c r="H34" s="1155">
        <f t="shared" si="0"/>
        <v>0</v>
      </c>
      <c r="I34" s="1154"/>
      <c r="J34" s="1144"/>
      <c r="K34" s="1153"/>
    </row>
    <row r="35" spans="6:11" ht="11.25" customHeight="1">
      <c r="F35" s="1149">
        <v>4</v>
      </c>
      <c r="G35" s="610" t="s">
        <v>2040</v>
      </c>
      <c r="H35" s="1155">
        <f t="shared" si="0"/>
        <v>0</v>
      </c>
      <c r="I35" s="1154"/>
      <c r="J35" s="1144"/>
      <c r="K35" s="1153"/>
    </row>
    <row r="36" spans="6:11" ht="11.25" customHeight="1">
      <c r="F36" s="1149"/>
      <c r="G36" s="613" t="s">
        <v>2041</v>
      </c>
      <c r="H36" s="1155">
        <f t="shared" si="0"/>
        <v>0</v>
      </c>
      <c r="I36" s="1155">
        <f>SUM(I15,I28,I32,I35)</f>
        <v>0</v>
      </c>
      <c r="J36" s="1144"/>
      <c r="K36" s="1153"/>
    </row>
    <row r="37" spans="6:11" ht="27.75" customHeight="1">
      <c r="F37" s="1150" t="s">
        <v>1216</v>
      </c>
      <c r="G37" s="2180" t="s">
        <v>2042</v>
      </c>
      <c r="H37" s="2180"/>
      <c r="I37" s="2180"/>
      <c r="J37" s="2180"/>
      <c r="K37" s="1153"/>
    </row>
    <row r="38" spans="6:11" ht="22.5" customHeight="1">
      <c r="F38" s="1149" t="s">
        <v>105</v>
      </c>
      <c r="G38" s="610" t="s">
        <v>2043</v>
      </c>
      <c r="H38" s="1155">
        <f t="shared" ref="H38:H58" si="1">SUM(I38:J38)</f>
        <v>0</v>
      </c>
      <c r="I38" s="1155">
        <f>SUM(I39,I44,I47)</f>
        <v>0</v>
      </c>
      <c r="J38" s="1144"/>
      <c r="K38" s="1153"/>
    </row>
    <row r="39" spans="6:11" ht="11.25" customHeight="1">
      <c r="F39" s="1149" t="s">
        <v>441</v>
      </c>
      <c r="G39" s="1156" t="s">
        <v>2025</v>
      </c>
      <c r="H39" s="1155">
        <f t="shared" si="1"/>
        <v>0</v>
      </c>
      <c r="I39" s="1155">
        <f>SUM(I40:I43)</f>
        <v>0</v>
      </c>
      <c r="J39" s="1144"/>
      <c r="K39" s="1153"/>
    </row>
    <row r="40" spans="6:11" ht="22.5" customHeight="1">
      <c r="F40" s="1149" t="s">
        <v>454</v>
      </c>
      <c r="G40" s="1157" t="s">
        <v>2044</v>
      </c>
      <c r="H40" s="1155">
        <f t="shared" si="1"/>
        <v>0</v>
      </c>
      <c r="I40" s="1154"/>
      <c r="J40" s="1144"/>
      <c r="K40" s="1153"/>
    </row>
    <row r="41" spans="6:11" ht="11.25" customHeight="1">
      <c r="F41" s="1149" t="s">
        <v>2045</v>
      </c>
      <c r="G41" s="1157" t="s">
        <v>1025</v>
      </c>
      <c r="H41" s="1155">
        <f t="shared" si="1"/>
        <v>0</v>
      </c>
      <c r="I41" s="1154"/>
      <c r="J41" s="1144"/>
      <c r="K41" s="1153"/>
    </row>
    <row r="42" spans="6:11" ht="11.25" customHeight="1">
      <c r="F42" s="1149" t="s">
        <v>2046</v>
      </c>
      <c r="G42" s="1157" t="s">
        <v>2047</v>
      </c>
      <c r="H42" s="1155">
        <f t="shared" si="1"/>
        <v>0</v>
      </c>
      <c r="I42" s="1154"/>
      <c r="J42" s="1144"/>
      <c r="K42" s="1153"/>
    </row>
    <row r="43" spans="6:11" ht="33.75" customHeight="1">
      <c r="F43" s="1149" t="s">
        <v>2048</v>
      </c>
      <c r="G43" s="1157" t="s">
        <v>2049</v>
      </c>
      <c r="H43" s="1155">
        <f t="shared" si="1"/>
        <v>0</v>
      </c>
      <c r="I43" s="1154"/>
      <c r="J43" s="1144"/>
      <c r="K43" s="1153"/>
    </row>
    <row r="44" spans="6:11" ht="11.25" customHeight="1">
      <c r="F44" s="1149" t="s">
        <v>456</v>
      </c>
      <c r="G44" s="1156" t="s">
        <v>2037</v>
      </c>
      <c r="H44" s="1155">
        <f t="shared" si="1"/>
        <v>0</v>
      </c>
      <c r="I44" s="1155">
        <f>SUM(I45:I46)</f>
        <v>0</v>
      </c>
      <c r="J44" s="1144"/>
      <c r="K44" s="1153"/>
    </row>
    <row r="45" spans="6:11" ht="45" customHeight="1">
      <c r="F45" s="1149" t="s">
        <v>457</v>
      </c>
      <c r="G45" s="1157" t="s">
        <v>2038</v>
      </c>
      <c r="H45" s="1155">
        <f t="shared" si="1"/>
        <v>0</v>
      </c>
      <c r="I45" s="1154"/>
      <c r="J45" s="1144"/>
      <c r="K45" s="1153"/>
    </row>
    <row r="46" spans="6:11" ht="11.25" customHeight="1">
      <c r="F46" s="1149" t="s">
        <v>2050</v>
      </c>
      <c r="G46" s="1157" t="s">
        <v>2039</v>
      </c>
      <c r="H46" s="1155">
        <f t="shared" si="1"/>
        <v>0</v>
      </c>
      <c r="I46" s="1154"/>
      <c r="J46" s="1144"/>
      <c r="K46" s="1153"/>
    </row>
    <row r="47" spans="6:11" ht="11.25" customHeight="1">
      <c r="F47" s="1149" t="s">
        <v>459</v>
      </c>
      <c r="G47" s="1156" t="s">
        <v>2051</v>
      </c>
      <c r="H47" s="1155">
        <f t="shared" si="1"/>
        <v>0</v>
      </c>
      <c r="I47" s="1154"/>
      <c r="J47" s="1144"/>
      <c r="K47" s="1153"/>
    </row>
    <row r="48" spans="6:11" ht="22.5" customHeight="1">
      <c r="F48" s="1149" t="s">
        <v>106</v>
      </c>
      <c r="G48" s="610" t="s">
        <v>2052</v>
      </c>
      <c r="H48" s="1155">
        <f t="shared" si="1"/>
        <v>0</v>
      </c>
      <c r="I48" s="1155">
        <f>SUM(I49,I54,I57)</f>
        <v>0</v>
      </c>
      <c r="J48" s="1144"/>
      <c r="K48" s="1153"/>
    </row>
    <row r="49" spans="6:11" ht="11.25" customHeight="1">
      <c r="F49" s="1149" t="s">
        <v>466</v>
      </c>
      <c r="G49" s="1156" t="s">
        <v>2025</v>
      </c>
      <c r="H49" s="1155">
        <f t="shared" si="1"/>
        <v>0</v>
      </c>
      <c r="I49" s="1155">
        <f>SUM(I50:I53)</f>
        <v>0</v>
      </c>
      <c r="J49" s="1144"/>
      <c r="K49" s="1153"/>
    </row>
    <row r="50" spans="6:11" ht="22.5" customHeight="1">
      <c r="F50" s="1149" t="s">
        <v>468</v>
      </c>
      <c r="G50" s="1157" t="s">
        <v>2044</v>
      </c>
      <c r="H50" s="1155">
        <f t="shared" si="1"/>
        <v>0</v>
      </c>
      <c r="I50" s="1154"/>
      <c r="J50" s="1144"/>
      <c r="K50" s="1153"/>
    </row>
    <row r="51" spans="6:11" ht="11.25" customHeight="1">
      <c r="F51" s="1149" t="s">
        <v>1789</v>
      </c>
      <c r="G51" s="1157" t="s">
        <v>1025</v>
      </c>
      <c r="H51" s="1155">
        <f t="shared" si="1"/>
        <v>0</v>
      </c>
      <c r="I51" s="1154"/>
      <c r="J51" s="1144"/>
      <c r="K51" s="1153"/>
    </row>
    <row r="52" spans="6:11" ht="11.25" customHeight="1">
      <c r="F52" s="1149" t="s">
        <v>2053</v>
      </c>
      <c r="G52" s="1157" t="s">
        <v>2047</v>
      </c>
      <c r="H52" s="1155">
        <f t="shared" si="1"/>
        <v>0</v>
      </c>
      <c r="I52" s="1154"/>
      <c r="J52" s="1144"/>
      <c r="K52" s="1153"/>
    </row>
    <row r="53" spans="6:11" ht="33.75" customHeight="1">
      <c r="F53" s="1149" t="s">
        <v>2054</v>
      </c>
      <c r="G53" s="1157" t="s">
        <v>2049</v>
      </c>
      <c r="H53" s="1155">
        <f t="shared" si="1"/>
        <v>0</v>
      </c>
      <c r="I53" s="1154"/>
      <c r="J53" s="1144"/>
      <c r="K53" s="1153"/>
    </row>
    <row r="54" spans="6:11" ht="11.25" customHeight="1">
      <c r="F54" s="1149" t="s">
        <v>290</v>
      </c>
      <c r="G54" s="1156" t="s">
        <v>2037</v>
      </c>
      <c r="H54" s="1155">
        <f t="shared" si="1"/>
        <v>0</v>
      </c>
      <c r="I54" s="1155">
        <f>SUM(I55:I56)</f>
        <v>0</v>
      </c>
      <c r="J54" s="1144"/>
      <c r="K54" s="1153"/>
    </row>
    <row r="55" spans="6:11" ht="45" customHeight="1">
      <c r="F55" s="1149" t="s">
        <v>1384</v>
      </c>
      <c r="G55" s="1157" t="s">
        <v>2038</v>
      </c>
      <c r="H55" s="1155">
        <f t="shared" si="1"/>
        <v>0</v>
      </c>
      <c r="I55" s="1154"/>
      <c r="J55" s="1144"/>
      <c r="K55" s="1153"/>
    </row>
    <row r="56" spans="6:11" ht="11.25" customHeight="1">
      <c r="F56" s="1149" t="s">
        <v>1389</v>
      </c>
      <c r="G56" s="1157" t="s">
        <v>2039</v>
      </c>
      <c r="H56" s="1155">
        <f t="shared" si="1"/>
        <v>0</v>
      </c>
      <c r="I56" s="1154"/>
      <c r="J56" s="1144"/>
      <c r="K56" s="1153"/>
    </row>
    <row r="57" spans="6:11" ht="11.25" customHeight="1">
      <c r="F57" s="1149" t="s">
        <v>293</v>
      </c>
      <c r="G57" s="1156" t="s">
        <v>2051</v>
      </c>
      <c r="H57" s="1155">
        <f t="shared" si="1"/>
        <v>0</v>
      </c>
      <c r="I57" s="1154"/>
      <c r="J57" s="1144"/>
      <c r="K57" s="1153"/>
    </row>
    <row r="58" spans="6:11" ht="11.25" customHeight="1">
      <c r="F58" s="1149"/>
      <c r="G58" s="1158" t="s">
        <v>2041</v>
      </c>
      <c r="H58" s="1155">
        <f t="shared" si="1"/>
        <v>0</v>
      </c>
      <c r="I58" s="1155">
        <f>SUM(I38,I48)</f>
        <v>0</v>
      </c>
      <c r="J58" s="1144"/>
      <c r="K58" s="1153"/>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979" hidden="1" customWidth="1"/>
    <col min="2" max="2" width="4.69921875" style="852" hidden="1" customWidth="1"/>
    <col min="3" max="4" width="4.69921875" style="979" hidden="1" customWidth="1"/>
    <col min="5" max="5" width="3.59765625" style="979" customWidth="1"/>
    <col min="6" max="6" width="6.69921875" style="979" customWidth="1"/>
    <col min="7" max="7" width="18.69921875" style="979" customWidth="1"/>
    <col min="8" max="8" width="27.296875" style="979" customWidth="1"/>
    <col min="9" max="9" width="18.69921875" style="979" customWidth="1"/>
    <col min="10" max="14" width="0.796875" style="979" hidden="1" customWidth="1"/>
    <col min="15" max="28" width="21.69921875" style="979" hidden="1" customWidth="1"/>
    <col min="29" max="71" width="0.796875" style="979" hidden="1" customWidth="1"/>
    <col min="72" max="79" width="21.69921875" style="979" customWidth="1"/>
    <col min="80" max="81" width="29.09765625" style="979" customWidth="1"/>
    <col min="82" max="89" width="21.69921875" style="979" customWidth="1"/>
    <col min="90" max="102" width="0.69921875" style="979" customWidth="1"/>
    <col min="103" max="114" width="21.69921875" style="979" hidden="1" customWidth="1"/>
    <col min="115" max="178" width="0.69921875" style="979" hidden="1" customWidth="1"/>
    <col min="179" max="179" width="9.765625E-2" style="979" customWidth="1"/>
    <col min="180" max="184" width="9.09765625" style="979"/>
  </cols>
  <sheetData>
    <row r="1" spans="2:180" s="843" customFormat="1" ht="12" hidden="1" customHeight="1">
      <c r="B1" s="841"/>
      <c r="C1" s="842"/>
      <c r="D1" s="842"/>
    </row>
    <row r="2" spans="2:180" s="843" customFormat="1" ht="12" hidden="1" customHeight="1">
      <c r="B2" s="841"/>
      <c r="C2" s="842"/>
      <c r="D2" s="842"/>
      <c r="E2" s="842"/>
      <c r="F2" s="842"/>
      <c r="G2" s="842"/>
      <c r="H2" s="842"/>
      <c r="I2" s="842"/>
      <c r="J2" s="842"/>
      <c r="K2" s="842"/>
      <c r="L2" s="842"/>
      <c r="M2" s="842"/>
      <c r="N2" s="842"/>
      <c r="O2" s="842"/>
      <c r="P2" s="842"/>
      <c r="Q2" s="842"/>
      <c r="R2" s="842"/>
      <c r="S2" s="842"/>
      <c r="T2" s="842"/>
      <c r="U2" s="842"/>
      <c r="V2" s="842"/>
      <c r="W2" s="842"/>
      <c r="X2" s="842"/>
      <c r="Y2" s="842"/>
      <c r="Z2" s="842"/>
      <c r="AA2" s="842"/>
      <c r="AC2" s="842"/>
      <c r="AD2" s="842"/>
      <c r="AE2" s="842"/>
      <c r="AF2" s="842"/>
      <c r="AG2" s="842"/>
      <c r="AH2" s="842"/>
      <c r="AI2" s="842"/>
      <c r="AJ2" s="842"/>
      <c r="AK2" s="842"/>
      <c r="AL2" s="842"/>
      <c r="AM2" s="842"/>
      <c r="AN2" s="842"/>
      <c r="AO2" s="842"/>
      <c r="AP2" s="842"/>
      <c r="AQ2" s="842"/>
      <c r="AR2" s="842"/>
      <c r="AS2" s="842"/>
      <c r="AT2" s="842"/>
      <c r="AU2" s="842"/>
      <c r="AV2" s="842"/>
      <c r="AW2" s="842"/>
      <c r="AX2" s="842"/>
      <c r="AY2" s="842"/>
      <c r="AZ2" s="842"/>
      <c r="BA2" s="842"/>
      <c r="BB2" s="842"/>
      <c r="BC2" s="842"/>
      <c r="BD2" s="842"/>
      <c r="BE2" s="842"/>
      <c r="BF2" s="842"/>
      <c r="BG2" s="842"/>
      <c r="BH2" s="842"/>
      <c r="BI2" s="842"/>
      <c r="BJ2" s="842"/>
      <c r="BK2" s="842"/>
      <c r="BL2" s="842"/>
      <c r="BM2" s="842"/>
      <c r="BN2" s="842"/>
      <c r="BO2" s="842"/>
      <c r="BP2" s="842"/>
      <c r="BQ2" s="842"/>
      <c r="BR2" s="842"/>
      <c r="BS2" s="842"/>
      <c r="BT2" s="842"/>
      <c r="BU2" s="842"/>
      <c r="BV2" s="842"/>
      <c r="BW2" s="842"/>
      <c r="BX2" s="842"/>
      <c r="BY2" s="842"/>
      <c r="BZ2" s="842"/>
      <c r="CA2" s="842"/>
      <c r="CB2" s="842"/>
      <c r="CC2" s="842"/>
      <c r="CD2" s="842"/>
      <c r="CE2" s="842"/>
      <c r="CF2" s="842"/>
      <c r="CG2" s="842"/>
      <c r="CH2" s="842"/>
      <c r="CI2" s="842"/>
      <c r="CJ2" s="842"/>
      <c r="CK2" s="842"/>
      <c r="CL2" s="842"/>
      <c r="CM2" s="842"/>
      <c r="CN2" s="842"/>
      <c r="CO2" s="842"/>
      <c r="CP2" s="842"/>
      <c r="CQ2" s="842"/>
      <c r="CR2" s="842"/>
      <c r="CS2" s="842"/>
      <c r="CT2" s="842"/>
      <c r="CU2" s="842"/>
      <c r="CV2" s="842"/>
      <c r="CW2" s="842"/>
      <c r="CX2" s="842"/>
      <c r="CY2" s="842"/>
      <c r="CZ2" s="842"/>
      <c r="DA2" s="842"/>
      <c r="DB2" s="842"/>
      <c r="DC2" s="842"/>
      <c r="DD2" s="842"/>
      <c r="DE2" s="842"/>
      <c r="DF2" s="842"/>
      <c r="DG2" s="842"/>
      <c r="DH2" s="842"/>
      <c r="DI2" s="842"/>
      <c r="DJ2" s="842"/>
      <c r="DK2" s="842"/>
      <c r="DL2" s="842"/>
      <c r="DM2" s="842"/>
      <c r="DN2" s="842"/>
      <c r="DO2" s="842"/>
      <c r="DP2" s="842"/>
      <c r="DQ2" s="842"/>
      <c r="DR2" s="842"/>
      <c r="DS2" s="842"/>
      <c r="DT2" s="842"/>
      <c r="DU2" s="842"/>
      <c r="DV2" s="842"/>
      <c r="DW2" s="842"/>
      <c r="DX2" s="842"/>
      <c r="DY2" s="842"/>
      <c r="DZ2" s="842"/>
      <c r="EA2" s="842"/>
      <c r="EB2" s="842"/>
      <c r="EC2" s="842"/>
      <c r="ED2" s="842"/>
      <c r="EE2" s="842"/>
      <c r="EF2" s="842"/>
      <c r="EG2" s="842"/>
      <c r="EH2" s="842"/>
      <c r="EI2" s="842"/>
      <c r="EJ2" s="842"/>
      <c r="EK2" s="842"/>
      <c r="EL2" s="842"/>
      <c r="EM2" s="842"/>
      <c r="EN2" s="842"/>
      <c r="EO2" s="842"/>
      <c r="EP2" s="842"/>
      <c r="EQ2" s="842"/>
      <c r="ER2" s="842"/>
      <c r="ES2" s="842"/>
      <c r="ET2" s="842"/>
      <c r="EU2" s="842"/>
      <c r="EV2" s="842"/>
      <c r="EW2" s="842"/>
      <c r="EX2" s="842"/>
      <c r="EY2" s="842"/>
      <c r="EZ2" s="842"/>
      <c r="FA2" s="842"/>
      <c r="FB2" s="842"/>
      <c r="FC2" s="842"/>
      <c r="FD2" s="842"/>
      <c r="FE2" s="842"/>
      <c r="FF2" s="842"/>
      <c r="FG2" s="842"/>
      <c r="FH2" s="842"/>
      <c r="FI2" s="842"/>
      <c r="FJ2" s="842"/>
      <c r="FK2" s="842"/>
      <c r="FL2" s="842"/>
      <c r="FM2" s="842"/>
      <c r="FN2" s="842"/>
      <c r="FO2" s="842"/>
      <c r="FP2" s="842"/>
      <c r="FQ2" s="842"/>
      <c r="FR2" s="842"/>
      <c r="FS2" s="842"/>
      <c r="FT2" s="842"/>
      <c r="FU2" s="842"/>
      <c r="FV2" s="842"/>
      <c r="FW2" s="842"/>
    </row>
    <row r="3" spans="2:180" s="843" customFormat="1" ht="12" hidden="1" customHeight="1">
      <c r="B3" s="841"/>
      <c r="C3" s="842"/>
      <c r="D3" s="842"/>
      <c r="E3" s="842"/>
      <c r="F3" s="842"/>
      <c r="G3" s="842"/>
      <c r="H3" s="842"/>
      <c r="I3" s="842"/>
      <c r="J3" s="842"/>
      <c r="K3" s="842"/>
      <c r="L3" s="842"/>
      <c r="M3" s="842"/>
      <c r="N3" s="842"/>
      <c r="O3" s="842"/>
      <c r="P3" s="842"/>
      <c r="Q3" s="842"/>
      <c r="R3" s="842"/>
      <c r="S3" s="842"/>
      <c r="T3" s="842"/>
      <c r="U3" s="842"/>
      <c r="V3" s="842"/>
      <c r="W3" s="842"/>
      <c r="X3" s="842"/>
      <c r="Y3" s="842"/>
      <c r="Z3" s="842"/>
      <c r="AA3" s="842"/>
      <c r="AC3" s="842"/>
      <c r="AD3" s="842"/>
      <c r="AE3" s="842"/>
      <c r="AF3" s="842"/>
      <c r="AG3" s="842"/>
      <c r="AH3" s="842"/>
      <c r="AI3" s="842"/>
      <c r="AJ3" s="842"/>
      <c r="AK3" s="842"/>
      <c r="AL3" s="842"/>
      <c r="AM3" s="842"/>
      <c r="AN3" s="842"/>
      <c r="AO3" s="842"/>
      <c r="AP3" s="842"/>
      <c r="AQ3" s="842"/>
      <c r="AR3" s="842"/>
      <c r="AS3" s="842"/>
      <c r="AT3" s="842"/>
      <c r="AU3" s="842"/>
      <c r="AV3" s="842"/>
      <c r="AW3" s="842"/>
      <c r="AX3" s="842"/>
      <c r="AY3" s="842"/>
      <c r="AZ3" s="842"/>
      <c r="BA3" s="842"/>
      <c r="BB3" s="842"/>
      <c r="BC3" s="842"/>
      <c r="BD3" s="842"/>
      <c r="BE3" s="842"/>
      <c r="BF3" s="842"/>
      <c r="BG3" s="842"/>
      <c r="BH3" s="842"/>
      <c r="BI3" s="842"/>
      <c r="BJ3" s="842"/>
      <c r="BK3" s="842"/>
      <c r="BL3" s="842"/>
      <c r="BM3" s="842"/>
      <c r="BN3" s="842"/>
      <c r="BO3" s="842"/>
      <c r="BP3" s="842"/>
      <c r="BQ3" s="842"/>
      <c r="BR3" s="842"/>
      <c r="BS3" s="842"/>
      <c r="BT3" s="842"/>
      <c r="BU3" s="842"/>
      <c r="BV3" s="842"/>
      <c r="BW3" s="842"/>
      <c r="BX3" s="842"/>
      <c r="BY3" s="842"/>
      <c r="BZ3" s="842"/>
      <c r="CA3" s="842"/>
      <c r="CB3" s="842"/>
      <c r="CC3" s="842"/>
      <c r="CD3" s="842"/>
      <c r="CE3" s="842"/>
      <c r="CF3" s="842"/>
      <c r="CG3" s="842"/>
      <c r="CH3" s="842"/>
      <c r="CI3" s="842"/>
      <c r="CJ3" s="842"/>
      <c r="CK3" s="842"/>
      <c r="CL3" s="842"/>
      <c r="CM3" s="842"/>
      <c r="CN3" s="842"/>
      <c r="CO3" s="842"/>
      <c r="CP3" s="842"/>
      <c r="CQ3" s="842"/>
      <c r="CR3" s="842"/>
      <c r="CS3" s="842"/>
      <c r="CT3" s="842"/>
      <c r="CU3" s="842"/>
      <c r="CV3" s="842"/>
      <c r="CW3" s="842"/>
      <c r="CX3" s="842"/>
      <c r="CY3" s="842"/>
      <c r="CZ3" s="842"/>
      <c r="DA3" s="842"/>
      <c r="DB3" s="842"/>
      <c r="DC3" s="842"/>
      <c r="DD3" s="842"/>
      <c r="DE3" s="842"/>
      <c r="DF3" s="842"/>
      <c r="DG3" s="842"/>
      <c r="DH3" s="842"/>
      <c r="DI3" s="842"/>
      <c r="DJ3" s="842"/>
      <c r="DK3" s="842"/>
      <c r="DL3" s="842"/>
      <c r="DM3" s="842"/>
      <c r="DN3" s="842"/>
      <c r="DO3" s="842"/>
      <c r="DP3" s="842"/>
      <c r="DQ3" s="842"/>
      <c r="DR3" s="842"/>
      <c r="DS3" s="842"/>
      <c r="DT3" s="842"/>
      <c r="DU3" s="842"/>
      <c r="DV3" s="842"/>
      <c r="DW3" s="842"/>
      <c r="DX3" s="842"/>
      <c r="DY3" s="842"/>
      <c r="DZ3" s="842"/>
      <c r="EA3" s="842"/>
      <c r="EB3" s="842"/>
      <c r="EC3" s="842"/>
      <c r="ED3" s="842"/>
      <c r="EE3" s="842"/>
      <c r="EF3" s="842"/>
      <c r="EG3" s="842"/>
      <c r="EH3" s="842"/>
      <c r="EI3" s="842"/>
      <c r="EJ3" s="842"/>
      <c r="EK3" s="842"/>
      <c r="EL3" s="842"/>
      <c r="EM3" s="842"/>
      <c r="EN3" s="842"/>
      <c r="EO3" s="842"/>
      <c r="EP3" s="842"/>
      <c r="EQ3" s="842"/>
      <c r="ER3" s="842"/>
      <c r="ES3" s="842"/>
      <c r="ET3" s="842"/>
      <c r="EU3" s="842"/>
      <c r="EV3" s="842"/>
      <c r="EW3" s="842"/>
      <c r="EX3" s="842"/>
      <c r="EY3" s="842"/>
      <c r="EZ3" s="842"/>
      <c r="FA3" s="842"/>
      <c r="FB3" s="842"/>
      <c r="FC3" s="842"/>
      <c r="FD3" s="842"/>
      <c r="FE3" s="842"/>
      <c r="FF3" s="842"/>
      <c r="FG3" s="842"/>
      <c r="FH3" s="842"/>
      <c r="FI3" s="842"/>
      <c r="FJ3" s="842"/>
      <c r="FK3" s="842"/>
      <c r="FL3" s="842"/>
      <c r="FM3" s="842"/>
      <c r="FN3" s="842"/>
      <c r="FO3" s="842"/>
      <c r="FP3" s="842"/>
      <c r="FQ3" s="842"/>
      <c r="FR3" s="842"/>
      <c r="FS3" s="842"/>
      <c r="FT3" s="842"/>
      <c r="FU3" s="842"/>
      <c r="FV3" s="842"/>
      <c r="FW3" s="842"/>
    </row>
    <row r="4" spans="2:180" ht="10.5" customHeight="1">
      <c r="B4" s="844"/>
      <c r="C4" s="845"/>
      <c r="D4" s="845"/>
      <c r="E4" s="845"/>
      <c r="F4" s="845"/>
      <c r="G4" s="845"/>
      <c r="H4" s="846"/>
      <c r="I4" s="846"/>
      <c r="J4" s="846"/>
      <c r="K4" s="846"/>
      <c r="L4" s="846"/>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847"/>
      <c r="BL4" s="847"/>
      <c r="BM4" s="847"/>
      <c r="BN4" s="847"/>
      <c r="BO4" s="847"/>
      <c r="BP4" s="847"/>
      <c r="BQ4" s="847"/>
      <c r="BR4" s="847"/>
      <c r="BS4" s="847"/>
      <c r="BT4" s="847"/>
      <c r="BU4" s="847"/>
      <c r="BV4" s="847"/>
      <c r="BW4" s="847"/>
      <c r="BX4" s="847"/>
      <c r="BY4" s="847"/>
      <c r="BZ4" s="847"/>
      <c r="CA4" s="847"/>
      <c r="CB4" s="847"/>
      <c r="CC4" s="847"/>
      <c r="CD4" s="847"/>
      <c r="CE4" s="847"/>
      <c r="CF4" s="847"/>
      <c r="CG4" s="847"/>
      <c r="CH4" s="847"/>
      <c r="CI4" s="847"/>
      <c r="CJ4" s="847"/>
      <c r="CK4" s="847"/>
      <c r="CL4" s="847"/>
      <c r="CM4" s="847"/>
      <c r="CN4" s="847"/>
      <c r="CO4" s="847"/>
      <c r="CP4" s="847"/>
      <c r="CQ4" s="847"/>
      <c r="CR4" s="847"/>
      <c r="CS4" s="847"/>
      <c r="CT4" s="847"/>
      <c r="CU4" s="847"/>
      <c r="CV4" s="847"/>
      <c r="CW4" s="847"/>
      <c r="CX4" s="847"/>
      <c r="CY4" s="847"/>
      <c r="CZ4" s="847"/>
      <c r="DA4" s="847"/>
      <c r="DB4" s="847"/>
      <c r="DC4" s="847"/>
      <c r="DD4" s="847"/>
      <c r="DE4" s="847"/>
      <c r="DF4" s="847"/>
      <c r="DG4" s="847"/>
      <c r="DH4" s="847"/>
      <c r="DI4" s="847"/>
      <c r="DJ4" s="847"/>
      <c r="DK4" s="847"/>
      <c r="DL4" s="847"/>
      <c r="DM4" s="847"/>
      <c r="DN4" s="847"/>
      <c r="DO4" s="847"/>
      <c r="DP4" s="847"/>
      <c r="DQ4" s="847"/>
      <c r="DR4" s="847"/>
      <c r="DS4" s="847"/>
      <c r="DT4" s="847"/>
      <c r="DU4" s="847"/>
      <c r="DV4" s="847"/>
      <c r="DW4" s="847"/>
      <c r="DX4" s="847"/>
      <c r="DY4" s="847"/>
      <c r="DZ4" s="847"/>
      <c r="EA4" s="847"/>
      <c r="EB4" s="847"/>
      <c r="EC4" s="847"/>
      <c r="ED4" s="847"/>
      <c r="EE4" s="847"/>
      <c r="EF4" s="847"/>
      <c r="EG4" s="847"/>
      <c r="EH4" s="847"/>
      <c r="EI4" s="847"/>
      <c r="EJ4" s="847"/>
      <c r="EK4" s="847"/>
      <c r="EL4" s="847"/>
      <c r="EM4" s="847"/>
      <c r="EN4" s="847"/>
      <c r="EO4" s="847"/>
      <c r="EP4" s="847"/>
      <c r="EQ4" s="847"/>
      <c r="ER4" s="847"/>
      <c r="ES4" s="847"/>
      <c r="ET4" s="847"/>
      <c r="EU4" s="847"/>
      <c r="EV4" s="847"/>
      <c r="EW4" s="847"/>
      <c r="EX4" s="847"/>
      <c r="EY4" s="847"/>
      <c r="EZ4" s="847"/>
      <c r="FA4" s="847"/>
      <c r="FB4" s="847"/>
      <c r="FC4" s="847"/>
      <c r="FD4" s="847"/>
      <c r="FE4" s="847"/>
      <c r="FF4" s="847"/>
      <c r="FG4" s="847"/>
      <c r="FH4" s="847"/>
      <c r="FI4" s="847"/>
      <c r="FJ4" s="847"/>
      <c r="FK4" s="847"/>
      <c r="FL4" s="847"/>
      <c r="FM4" s="847"/>
      <c r="FN4" s="847"/>
      <c r="FO4" s="847"/>
      <c r="FP4" s="847"/>
      <c r="FQ4" s="847"/>
      <c r="FR4" s="847"/>
      <c r="FS4" s="847"/>
      <c r="FT4" s="847"/>
      <c r="FU4" s="847"/>
      <c r="FV4" s="847"/>
      <c r="FW4" s="847"/>
    </row>
    <row r="5" spans="2:180" s="1792" customFormat="1" ht="24" customHeight="1">
      <c r="B5" s="860"/>
      <c r="E5" s="861"/>
      <c r="F5" s="1833" t="str">
        <f>"Информация о реализации инвестиционных программ и показатели качества, надежности и энергетической эффективности в сфере "&amp;TEMPLATE_SPHERE_RUS&amp;" на "&amp;TITLE_FIL_YEAR&amp;" год"</f>
        <v>Информация о реализации инвестиционных программ и показатели качества, надежности и энергетической эффективности в сфере холодного водоснабжения на  год</v>
      </c>
      <c r="G5" s="1834"/>
      <c r="H5" s="1834"/>
      <c r="I5" s="1834"/>
      <c r="J5" s="1834"/>
      <c r="K5" s="1834"/>
      <c r="L5" s="1834"/>
      <c r="M5" s="1834"/>
      <c r="N5" s="1834"/>
      <c r="O5" s="1834"/>
      <c r="P5" s="1834"/>
      <c r="Q5" s="1834"/>
      <c r="R5" s="1834"/>
      <c r="S5" s="1834"/>
      <c r="T5" s="1834"/>
      <c r="U5" s="1834"/>
      <c r="V5" s="1834"/>
      <c r="W5" s="1834"/>
      <c r="X5" s="1834"/>
      <c r="Y5" s="1834"/>
      <c r="Z5" s="1834"/>
      <c r="AA5" s="1834"/>
      <c r="AB5" s="1834"/>
      <c r="AC5" s="1834"/>
      <c r="AD5" s="1834"/>
      <c r="AE5" s="1834"/>
      <c r="AF5" s="1834"/>
      <c r="AG5" s="1834"/>
      <c r="AH5" s="1834"/>
      <c r="AI5" s="1834"/>
      <c r="AJ5" s="1834"/>
      <c r="AK5" s="1834"/>
      <c r="AL5" s="1834"/>
      <c r="AM5" s="1834"/>
      <c r="AN5" s="1834"/>
      <c r="AO5" s="1834"/>
      <c r="AP5" s="1834"/>
      <c r="AQ5" s="1834"/>
      <c r="AR5" s="1834"/>
      <c r="AS5" s="1834"/>
      <c r="AT5" s="1834"/>
      <c r="AU5" s="1834"/>
      <c r="AV5" s="1834"/>
      <c r="AW5" s="1834"/>
      <c r="AX5" s="1834"/>
      <c r="AY5" s="1834"/>
      <c r="AZ5" s="1834"/>
      <c r="BA5" s="1834"/>
      <c r="BB5" s="1834"/>
      <c r="BC5" s="1834"/>
      <c r="BD5" s="1834"/>
      <c r="BE5" s="1834"/>
      <c r="BF5" s="1834"/>
      <c r="BG5" s="1834"/>
      <c r="BH5" s="1834"/>
      <c r="BI5" s="1834"/>
      <c r="BJ5" s="1834"/>
      <c r="BK5" s="1834"/>
      <c r="BL5" s="1834"/>
      <c r="BM5" s="1834"/>
      <c r="BN5" s="1834"/>
      <c r="BO5" s="1834"/>
      <c r="BP5" s="1834"/>
      <c r="BQ5" s="1834"/>
      <c r="BR5" s="1834"/>
      <c r="BS5" s="1834"/>
    </row>
    <row r="6" spans="2:180" s="1792" customFormat="1" ht="18" customHeight="1">
      <c r="B6" s="860"/>
      <c r="E6" s="861"/>
      <c r="F6" s="1940" t="str">
        <f>IF(org=0,"Не определено",org)</f>
        <v>НАО "СВЕЗА Мантурово"</v>
      </c>
      <c r="G6" s="1941"/>
      <c r="H6" s="1941"/>
      <c r="I6" s="1941"/>
      <c r="J6" s="1941"/>
      <c r="K6" s="1941"/>
      <c r="L6" s="1941"/>
      <c r="M6" s="1941"/>
      <c r="N6" s="1941"/>
      <c r="O6" s="1941"/>
      <c r="P6" s="1941"/>
      <c r="Q6" s="1941"/>
      <c r="R6" s="1941"/>
      <c r="S6" s="1941"/>
      <c r="T6" s="1941"/>
      <c r="U6" s="1941"/>
      <c r="V6" s="1941"/>
      <c r="W6" s="1941"/>
      <c r="X6" s="1941"/>
      <c r="Y6" s="1941"/>
      <c r="Z6" s="1941"/>
      <c r="AA6" s="1941"/>
      <c r="AB6" s="1941"/>
      <c r="AC6" s="1941"/>
      <c r="AD6" s="1941"/>
      <c r="AE6" s="1941"/>
      <c r="AF6" s="1941"/>
      <c r="AG6" s="1941"/>
      <c r="AH6" s="1941"/>
      <c r="AI6" s="1941"/>
      <c r="AJ6" s="1941"/>
      <c r="AK6" s="1941"/>
      <c r="AL6" s="1941"/>
      <c r="AM6" s="1941"/>
      <c r="AN6" s="1941"/>
      <c r="AO6" s="1941"/>
      <c r="AP6" s="1941"/>
      <c r="AQ6" s="1941"/>
      <c r="AR6" s="1941"/>
      <c r="AS6" s="1941"/>
      <c r="AT6" s="1941"/>
      <c r="AU6" s="1941"/>
      <c r="AV6" s="1941"/>
      <c r="AW6" s="1941"/>
      <c r="AX6" s="1941"/>
      <c r="AY6" s="1941"/>
      <c r="AZ6" s="1941"/>
      <c r="BA6" s="1941"/>
      <c r="BB6" s="1941"/>
      <c r="BC6" s="1941"/>
      <c r="BD6" s="1941"/>
      <c r="BE6" s="1941"/>
      <c r="BF6" s="1941"/>
      <c r="BG6" s="1941"/>
      <c r="BH6" s="1941"/>
      <c r="BI6" s="1941"/>
      <c r="BJ6" s="1941"/>
      <c r="BK6" s="1941"/>
      <c r="BL6" s="1941"/>
      <c r="BM6" s="1941"/>
      <c r="BN6" s="1941"/>
      <c r="BO6" s="1941"/>
      <c r="BP6" s="1941"/>
      <c r="BQ6" s="1941"/>
      <c r="BR6" s="1941"/>
      <c r="BS6" s="1941"/>
    </row>
    <row r="7" spans="2:180" s="849" customFormat="1" ht="10.5" customHeight="1">
      <c r="B7" s="848"/>
      <c r="G7" s="851"/>
      <c r="H7" s="846"/>
      <c r="I7" s="846"/>
      <c r="J7" s="846"/>
      <c r="K7" s="846"/>
      <c r="L7" s="846"/>
    </row>
    <row r="8" spans="2:180" s="849" customFormat="1" ht="11.25" hidden="1" customHeight="1">
      <c r="B8" s="850"/>
      <c r="F8" s="972"/>
      <c r="G8" s="682"/>
      <c r="H8" s="281"/>
      <c r="I8" s="281"/>
      <c r="J8" s="281"/>
      <c r="K8" s="281"/>
      <c r="L8" s="281"/>
      <c r="M8" s="972"/>
      <c r="N8" s="972"/>
      <c r="O8" s="2194" t="s">
        <v>2055</v>
      </c>
      <c r="P8" s="2195"/>
      <c r="Q8" s="2195"/>
      <c r="R8" s="2195"/>
      <c r="S8" s="2195"/>
      <c r="T8" s="2195"/>
      <c r="U8" s="2195"/>
      <c r="V8" s="2195"/>
      <c r="W8" s="2195"/>
      <c r="X8" s="2195"/>
      <c r="Y8" s="2195"/>
      <c r="Z8" s="2195"/>
      <c r="AA8" s="2195"/>
      <c r="AB8" s="2195"/>
      <c r="AC8" s="2195"/>
      <c r="AD8" s="2195"/>
      <c r="AE8" s="2195"/>
      <c r="AF8" s="2195"/>
      <c r="AG8" s="2195"/>
      <c r="AH8" s="2195"/>
      <c r="AI8" s="2195"/>
      <c r="AJ8" s="2195"/>
      <c r="AK8" s="2195"/>
      <c r="AL8" s="2195"/>
      <c r="AM8" s="2195"/>
      <c r="AN8" s="2195"/>
      <c r="AO8" s="2195"/>
      <c r="AP8" s="2195"/>
      <c r="AQ8" s="2195"/>
      <c r="AR8" s="2195"/>
      <c r="AS8" s="2195"/>
      <c r="AT8" s="2195"/>
      <c r="AU8" s="2195"/>
      <c r="AV8" s="2195"/>
      <c r="AW8" s="2195"/>
      <c r="AX8" s="2195"/>
      <c r="AY8" s="2195"/>
      <c r="AZ8" s="2195"/>
      <c r="BA8" s="2195"/>
      <c r="BB8" s="2195"/>
      <c r="BC8" s="2195"/>
      <c r="BD8" s="2195"/>
      <c r="BE8" s="2195"/>
      <c r="BF8" s="2195"/>
      <c r="BG8" s="2195"/>
      <c r="BH8" s="2195"/>
      <c r="BI8" s="2195"/>
      <c r="BJ8" s="2195"/>
      <c r="BK8" s="2195"/>
      <c r="BL8" s="2195"/>
      <c r="BM8" s="2195"/>
      <c r="BN8" s="2195"/>
      <c r="BO8" s="2195"/>
      <c r="BP8" s="2195"/>
      <c r="BQ8" s="2195"/>
      <c r="BR8" s="2195"/>
      <c r="BS8" s="2196"/>
      <c r="BT8" s="2197"/>
      <c r="BU8" s="2198"/>
      <c r="BV8" s="2198"/>
      <c r="BW8" s="2198"/>
      <c r="BX8" s="2198"/>
      <c r="BY8" s="2198"/>
      <c r="BZ8" s="2198"/>
      <c r="CA8" s="2198"/>
      <c r="CB8" s="2198"/>
      <c r="CC8" s="2198"/>
      <c r="CD8" s="2198"/>
      <c r="CE8" s="2198"/>
      <c r="CF8" s="2198"/>
      <c r="CG8" s="2198"/>
      <c r="CH8" s="2198"/>
      <c r="CI8" s="2198"/>
      <c r="CJ8" s="2198"/>
      <c r="CK8" s="2198"/>
      <c r="CL8" s="2198"/>
      <c r="CM8" s="2198"/>
      <c r="CN8" s="2198"/>
      <c r="CO8" s="2198"/>
      <c r="CP8" s="2198"/>
      <c r="CQ8" s="2198"/>
      <c r="CR8" s="2198"/>
      <c r="CS8" s="2198"/>
      <c r="CT8" s="2198"/>
      <c r="CU8" s="2198"/>
      <c r="CV8" s="2198"/>
      <c r="CW8" s="2198"/>
      <c r="CX8" s="2199"/>
      <c r="CY8" s="2200"/>
      <c r="CZ8" s="2201"/>
      <c r="DA8" s="2201"/>
      <c r="DB8" s="2201"/>
      <c r="DC8" s="2201"/>
      <c r="DD8" s="2201"/>
      <c r="DE8" s="2201"/>
      <c r="DF8" s="2201"/>
      <c r="DG8" s="2201"/>
      <c r="DH8" s="2201"/>
      <c r="DI8" s="2201"/>
      <c r="DJ8" s="2201"/>
      <c r="DK8" s="2201"/>
      <c r="DL8" s="2201"/>
      <c r="DM8" s="2201"/>
      <c r="DN8" s="2201"/>
      <c r="DO8" s="2201"/>
      <c r="DP8" s="2201"/>
      <c r="DQ8" s="2201"/>
      <c r="DR8" s="2201"/>
      <c r="DS8" s="2201"/>
      <c r="DT8" s="2201"/>
      <c r="DU8" s="2201"/>
      <c r="DV8" s="2201"/>
      <c r="DW8" s="2201"/>
      <c r="DX8" s="2202"/>
      <c r="DY8" s="2188" t="s">
        <v>2056</v>
      </c>
      <c r="DZ8" s="2189"/>
      <c r="EA8" s="2189"/>
      <c r="EB8" s="2189"/>
      <c r="EC8" s="2189"/>
      <c r="ED8" s="2189"/>
      <c r="EE8" s="2189"/>
      <c r="EF8" s="2189"/>
      <c r="EG8" s="2189"/>
      <c r="EH8" s="2189"/>
      <c r="EI8" s="2189"/>
      <c r="EJ8" s="2189"/>
      <c r="EK8" s="2189"/>
      <c r="EL8" s="2189"/>
      <c r="EM8" s="2189"/>
      <c r="EN8" s="2189"/>
      <c r="EO8" s="2189"/>
      <c r="EP8" s="2189"/>
      <c r="EQ8" s="2189"/>
      <c r="ER8" s="2189"/>
      <c r="ES8" s="2189"/>
      <c r="ET8" s="2189"/>
      <c r="EU8" s="2189"/>
      <c r="EV8" s="2189"/>
      <c r="EW8" s="2189"/>
      <c r="EX8" s="2189"/>
      <c r="EY8" s="2189"/>
      <c r="EZ8" s="2189"/>
      <c r="FA8" s="2189"/>
      <c r="FB8" s="2189"/>
      <c r="FC8" s="2189"/>
      <c r="FD8" s="2189"/>
      <c r="FE8" s="2189"/>
      <c r="FF8" s="2189"/>
      <c r="FG8" s="2189"/>
      <c r="FH8" s="2189"/>
      <c r="FI8" s="2189"/>
      <c r="FJ8" s="2189"/>
      <c r="FK8" s="2189"/>
      <c r="FL8" s="2189"/>
      <c r="FM8" s="2189"/>
      <c r="FN8" s="2189"/>
      <c r="FO8" s="2189"/>
      <c r="FP8" s="2189"/>
      <c r="FQ8" s="2189"/>
      <c r="FR8" s="2189"/>
      <c r="FS8" s="2189"/>
      <c r="FT8" s="2189"/>
      <c r="FU8" s="2189"/>
      <c r="FV8" s="2189"/>
      <c r="FW8" s="2190"/>
      <c r="FX8" s="972"/>
    </row>
    <row r="9" spans="2:180" s="849" customFormat="1" ht="11.25" hidden="1" customHeight="1">
      <c r="B9" s="850"/>
      <c r="F9" s="972"/>
      <c r="G9" s="682"/>
      <c r="H9" s="281"/>
      <c r="I9" s="281"/>
      <c r="J9" s="281"/>
      <c r="K9" s="281"/>
      <c r="L9" s="281"/>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c r="AL9" s="972"/>
      <c r="AM9" s="972"/>
      <c r="AN9" s="972"/>
      <c r="AO9" s="972"/>
      <c r="AP9" s="972"/>
      <c r="AQ9" s="972"/>
      <c r="AR9" s="972"/>
      <c r="AS9" s="972"/>
      <c r="AT9" s="972"/>
      <c r="AU9" s="972"/>
      <c r="AV9" s="972"/>
      <c r="AW9" s="972"/>
      <c r="AX9" s="972"/>
      <c r="AY9" s="972"/>
      <c r="AZ9" s="972"/>
      <c r="BA9" s="972"/>
      <c r="BB9" s="972"/>
      <c r="BC9" s="972"/>
      <c r="BD9" s="972"/>
      <c r="BE9" s="972"/>
      <c r="BF9" s="972"/>
      <c r="BG9" s="972"/>
      <c r="BH9" s="972"/>
      <c r="BI9" s="972"/>
      <c r="BJ9" s="972"/>
      <c r="BK9" s="972"/>
      <c r="BL9" s="972"/>
      <c r="BM9" s="972"/>
      <c r="BN9" s="972"/>
      <c r="BO9" s="972"/>
      <c r="BP9" s="972"/>
      <c r="BQ9" s="972"/>
      <c r="BR9" s="972"/>
      <c r="BS9" s="972"/>
      <c r="BT9" s="972"/>
      <c r="BU9" s="972"/>
      <c r="BV9" s="972"/>
      <c r="BW9" s="972"/>
      <c r="BX9" s="972"/>
      <c r="BY9" s="972"/>
      <c r="BZ9" s="972"/>
      <c r="CA9" s="972"/>
      <c r="CB9" s="972"/>
      <c r="CC9" s="972"/>
      <c r="CD9" s="972"/>
      <c r="CE9" s="972"/>
      <c r="CF9" s="972"/>
      <c r="CG9" s="972"/>
      <c r="CH9" s="972"/>
      <c r="CI9" s="972"/>
      <c r="CJ9" s="972"/>
      <c r="CK9" s="972"/>
      <c r="CL9" s="972"/>
      <c r="CM9" s="972"/>
      <c r="CN9" s="972"/>
      <c r="CO9" s="972"/>
      <c r="CP9" s="972"/>
      <c r="CQ9" s="972"/>
      <c r="CR9" s="972"/>
      <c r="CS9" s="972"/>
      <c r="CT9" s="972"/>
      <c r="CU9" s="972"/>
      <c r="CV9" s="972"/>
      <c r="CW9" s="972"/>
      <c r="CX9" s="972"/>
      <c r="CY9" s="972"/>
      <c r="CZ9" s="972"/>
      <c r="DA9" s="972"/>
      <c r="DB9" s="972"/>
      <c r="DC9" s="972"/>
      <c r="DD9" s="972"/>
      <c r="DE9" s="972"/>
      <c r="DF9" s="972"/>
      <c r="DG9" s="972"/>
      <c r="DH9" s="972"/>
      <c r="DI9" s="972"/>
      <c r="DJ9" s="972"/>
      <c r="DK9" s="972"/>
      <c r="DL9" s="972"/>
      <c r="DM9" s="972"/>
      <c r="DN9" s="972"/>
      <c r="DO9" s="972"/>
      <c r="DP9" s="972"/>
      <c r="DQ9" s="972"/>
      <c r="DR9" s="972"/>
      <c r="DS9" s="972"/>
      <c r="DT9" s="972"/>
      <c r="DU9" s="972"/>
      <c r="DV9" s="972"/>
      <c r="DW9" s="972"/>
      <c r="DX9" s="972"/>
      <c r="DY9" s="972"/>
      <c r="DZ9" s="972"/>
      <c r="EA9" s="972"/>
      <c r="EB9" s="972"/>
      <c r="EC9" s="972"/>
      <c r="ED9" s="972"/>
      <c r="EE9" s="972"/>
      <c r="EF9" s="972"/>
      <c r="EG9" s="972"/>
      <c r="EH9" s="972"/>
      <c r="EI9" s="972"/>
      <c r="EJ9" s="972"/>
      <c r="EK9" s="972"/>
      <c r="EL9" s="972"/>
      <c r="EM9" s="972"/>
      <c r="EN9" s="972"/>
      <c r="EO9" s="972"/>
      <c r="EP9" s="972"/>
      <c r="EQ9" s="972"/>
      <c r="ER9" s="972"/>
      <c r="ES9" s="972"/>
      <c r="ET9" s="972"/>
      <c r="EU9" s="972"/>
      <c r="EV9" s="972"/>
      <c r="EW9" s="972"/>
      <c r="EX9" s="972"/>
      <c r="EY9" s="972"/>
      <c r="EZ9" s="972"/>
      <c r="FA9" s="972"/>
      <c r="FB9" s="972"/>
      <c r="FC9" s="972"/>
      <c r="FD9" s="972"/>
      <c r="FE9" s="972"/>
      <c r="FF9" s="972"/>
      <c r="FG9" s="972"/>
      <c r="FH9" s="972"/>
      <c r="FI9" s="972"/>
      <c r="FJ9" s="972"/>
      <c r="FK9" s="972"/>
      <c r="FL9" s="972"/>
      <c r="FM9" s="972"/>
      <c r="FN9" s="972"/>
      <c r="FO9" s="972"/>
      <c r="FP9" s="972"/>
      <c r="FQ9" s="972"/>
      <c r="FR9" s="972"/>
      <c r="FS9" s="972"/>
      <c r="FT9" s="972"/>
      <c r="FU9" s="972"/>
      <c r="FV9" s="972"/>
      <c r="FW9" s="2191"/>
      <c r="FX9" s="972"/>
    </row>
    <row r="10" spans="2:180" s="849" customFormat="1" ht="11.25" customHeight="1">
      <c r="B10" s="850"/>
      <c r="F10" s="2170" t="s">
        <v>282</v>
      </c>
      <c r="G10" s="2204"/>
      <c r="H10" s="2204"/>
      <c r="I10" s="2204"/>
      <c r="J10" s="2204"/>
      <c r="K10" s="2204"/>
      <c r="L10" s="2204"/>
      <c r="M10" s="2204"/>
      <c r="N10" s="2204"/>
      <c r="O10" s="2204"/>
      <c r="P10" s="2204"/>
      <c r="Q10" s="2204"/>
      <c r="R10" s="2204"/>
      <c r="S10" s="2204"/>
      <c r="T10" s="2204"/>
      <c r="U10" s="2204"/>
      <c r="V10" s="2204"/>
      <c r="W10" s="2204"/>
      <c r="X10" s="2204"/>
      <c r="Y10" s="2204"/>
      <c r="Z10" s="2204"/>
      <c r="AA10" s="2204"/>
      <c r="AB10" s="2204"/>
      <c r="AC10" s="2204"/>
      <c r="AD10" s="2204"/>
      <c r="AE10" s="2204"/>
      <c r="AF10" s="2204"/>
      <c r="AG10" s="2204"/>
      <c r="AH10" s="2204"/>
      <c r="AI10" s="2204"/>
      <c r="AJ10" s="2204"/>
      <c r="AK10" s="2204"/>
      <c r="AL10" s="2204"/>
      <c r="AM10" s="2204"/>
      <c r="AN10" s="2204"/>
      <c r="AO10" s="2204"/>
      <c r="AP10" s="2204"/>
      <c r="AQ10" s="2204"/>
      <c r="AR10" s="2204"/>
      <c r="AS10" s="2204"/>
      <c r="AT10" s="2204"/>
      <c r="AU10" s="2204"/>
      <c r="AV10" s="2204"/>
      <c r="AW10" s="2204"/>
      <c r="AX10" s="2204"/>
      <c r="AY10" s="2204"/>
      <c r="AZ10" s="2204"/>
      <c r="BA10" s="2204"/>
      <c r="BB10" s="2204"/>
      <c r="BC10" s="2204"/>
      <c r="BD10" s="2204"/>
      <c r="BE10" s="2204"/>
      <c r="BF10" s="2204"/>
      <c r="BG10" s="2204"/>
      <c r="BH10" s="2204"/>
      <c r="BI10" s="2204"/>
      <c r="BJ10" s="2204"/>
      <c r="BK10" s="2204"/>
      <c r="BL10" s="2204"/>
      <c r="BM10" s="2204"/>
      <c r="BN10" s="2204"/>
      <c r="BO10" s="2204"/>
      <c r="BP10" s="2204"/>
      <c r="BQ10" s="2204"/>
      <c r="BR10" s="2204"/>
      <c r="BS10" s="2204"/>
      <c r="BT10" s="2204"/>
      <c r="BU10" s="2204"/>
      <c r="BV10" s="2204"/>
      <c r="BW10" s="2204"/>
      <c r="BX10" s="2204"/>
      <c r="BY10" s="2204"/>
      <c r="BZ10" s="2204"/>
      <c r="CA10" s="2204"/>
      <c r="CB10" s="2204"/>
      <c r="CC10" s="2204"/>
      <c r="CD10" s="2204"/>
      <c r="CE10" s="2204"/>
      <c r="CF10" s="2204"/>
      <c r="CG10" s="2204"/>
      <c r="CH10" s="2204"/>
      <c r="CI10" s="2204"/>
      <c r="CJ10" s="2204"/>
      <c r="CK10" s="2204"/>
      <c r="CL10" s="2204"/>
      <c r="CM10" s="2204"/>
      <c r="CN10" s="2204"/>
      <c r="CO10" s="2204"/>
      <c r="CP10" s="2204"/>
      <c r="CQ10" s="2204"/>
      <c r="CR10" s="2204"/>
      <c r="CS10" s="2204"/>
      <c r="CT10" s="2204"/>
      <c r="CU10" s="2204"/>
      <c r="CV10" s="2204"/>
      <c r="CW10" s="2204"/>
      <c r="CX10" s="2204"/>
      <c r="CY10" s="2204"/>
      <c r="CZ10" s="2204"/>
      <c r="DA10" s="2204"/>
      <c r="DB10" s="2204"/>
      <c r="DC10" s="2204"/>
      <c r="DD10" s="2204"/>
      <c r="DE10" s="2204"/>
      <c r="DF10" s="2204"/>
      <c r="DG10" s="2204"/>
      <c r="DH10" s="2204"/>
      <c r="DI10" s="2204"/>
      <c r="DJ10" s="2204"/>
      <c r="DK10" s="2204"/>
      <c r="DL10" s="2204"/>
      <c r="DM10" s="2204"/>
      <c r="DN10" s="2204"/>
      <c r="DO10" s="2204"/>
      <c r="DP10" s="2204"/>
      <c r="DQ10" s="2204"/>
      <c r="DR10" s="2204"/>
      <c r="DS10" s="2204"/>
      <c r="DT10" s="2204"/>
      <c r="DU10" s="2204"/>
      <c r="DV10" s="2204"/>
      <c r="DW10" s="2204"/>
      <c r="DX10" s="2204"/>
      <c r="DY10" s="2204"/>
      <c r="DZ10" s="2204"/>
      <c r="EA10" s="2204"/>
      <c r="EB10" s="2204"/>
      <c r="EC10" s="2204"/>
      <c r="ED10" s="2204"/>
      <c r="EE10" s="2204"/>
      <c r="EF10" s="2204"/>
      <c r="EG10" s="2204"/>
      <c r="EH10" s="2204"/>
      <c r="EI10" s="2204"/>
      <c r="EJ10" s="2204"/>
      <c r="EK10" s="2204"/>
      <c r="EL10" s="2204"/>
      <c r="EM10" s="2204"/>
      <c r="EN10" s="2204"/>
      <c r="EO10" s="2204"/>
      <c r="EP10" s="2204"/>
      <c r="EQ10" s="2204"/>
      <c r="ER10" s="2204"/>
      <c r="ES10" s="2204"/>
      <c r="ET10" s="2204"/>
      <c r="EU10" s="2204"/>
      <c r="EV10" s="2204"/>
      <c r="EW10" s="2204"/>
      <c r="EX10" s="2204"/>
      <c r="EY10" s="2204"/>
      <c r="EZ10" s="2204"/>
      <c r="FA10" s="2204"/>
      <c r="FB10" s="2204"/>
      <c r="FC10" s="2204"/>
      <c r="FD10" s="2204"/>
      <c r="FE10" s="2204"/>
      <c r="FF10" s="2204"/>
      <c r="FG10" s="2204"/>
      <c r="FH10" s="2204"/>
      <c r="FI10" s="2204"/>
      <c r="FJ10" s="2204"/>
      <c r="FK10" s="2204"/>
      <c r="FL10" s="2204"/>
      <c r="FM10" s="2204"/>
      <c r="FN10" s="2204"/>
      <c r="FO10" s="2204"/>
      <c r="FP10" s="2204"/>
      <c r="FQ10" s="2204"/>
      <c r="FR10" s="2204"/>
      <c r="FS10" s="2204"/>
      <c r="FT10" s="2204"/>
      <c r="FU10" s="2204"/>
      <c r="FV10" s="1964"/>
      <c r="FW10" s="2191"/>
      <c r="FX10" s="972"/>
    </row>
    <row r="11" spans="2:180" ht="12" customHeight="1">
      <c r="E11" s="853"/>
      <c r="F11" s="1920" t="s">
        <v>87</v>
      </c>
      <c r="G11" s="1920" t="s">
        <v>2057</v>
      </c>
      <c r="H11" s="1920" t="s">
        <v>2058</v>
      </c>
      <c r="I11" s="1920" t="s">
        <v>2059</v>
      </c>
      <c r="J11" s="2203"/>
      <c r="K11" s="2203"/>
      <c r="L11" s="2203"/>
      <c r="M11" s="2203"/>
      <c r="N11" s="2203"/>
      <c r="O11" s="1925" t="s">
        <v>2060</v>
      </c>
      <c r="P11" s="1925"/>
      <c r="Q11" s="1925"/>
      <c r="R11" s="1925"/>
      <c r="S11" s="1925"/>
      <c r="T11" s="1925"/>
      <c r="U11" s="1925"/>
      <c r="V11" s="1925"/>
      <c r="W11" s="1925"/>
      <c r="X11" s="1925"/>
      <c r="Y11" s="1925"/>
      <c r="Z11" s="1925"/>
      <c r="AA11" s="1925"/>
      <c r="AB11" s="1925"/>
      <c r="AC11" s="2186"/>
      <c r="AD11" s="2186"/>
      <c r="AE11" s="2186"/>
      <c r="AF11" s="2186"/>
      <c r="AG11" s="2186"/>
      <c r="AH11" s="2186"/>
      <c r="AI11" s="2186"/>
      <c r="AJ11" s="2186"/>
      <c r="AK11" s="2186"/>
      <c r="AL11" s="2186"/>
      <c r="AM11" s="2186"/>
      <c r="AN11" s="2186"/>
      <c r="AO11" s="2186"/>
      <c r="AP11" s="2186"/>
      <c r="AQ11" s="2186"/>
      <c r="AR11" s="2186"/>
      <c r="AS11" s="2186"/>
      <c r="AT11" s="2186"/>
      <c r="AU11" s="2186"/>
      <c r="AV11" s="2186"/>
      <c r="AW11" s="2186"/>
      <c r="AX11" s="2186"/>
      <c r="AY11" s="2186"/>
      <c r="AZ11" s="2186"/>
      <c r="BA11" s="2186"/>
      <c r="BB11" s="2186"/>
      <c r="BC11" s="2186"/>
      <c r="BD11" s="2186"/>
      <c r="BE11" s="2186"/>
      <c r="BF11" s="2186"/>
      <c r="BG11" s="2186"/>
      <c r="BH11" s="2186"/>
      <c r="BI11" s="2186"/>
      <c r="BJ11" s="2186"/>
      <c r="BK11" s="2186"/>
      <c r="BL11" s="2186"/>
      <c r="BM11" s="2186"/>
      <c r="BN11" s="2186"/>
      <c r="BO11" s="2186"/>
      <c r="BP11" s="2186"/>
      <c r="BQ11" s="2186"/>
      <c r="BR11" s="2186"/>
      <c r="BS11" s="2187"/>
      <c r="BT11" s="2137" t="s">
        <v>2060</v>
      </c>
      <c r="BU11" s="2138"/>
      <c r="BV11" s="2138"/>
      <c r="BW11" s="2138"/>
      <c r="BX11" s="2138"/>
      <c r="BY11" s="2138"/>
      <c r="BZ11" s="2138"/>
      <c r="CA11" s="2138"/>
      <c r="CB11" s="2138"/>
      <c r="CC11" s="2138"/>
      <c r="CD11" s="2138"/>
      <c r="CE11" s="2138"/>
      <c r="CF11" s="2138"/>
      <c r="CG11" s="2138"/>
      <c r="CH11" s="2138"/>
      <c r="CI11" s="2138"/>
      <c r="CJ11" s="2138"/>
      <c r="CK11" s="2139"/>
      <c r="CL11" s="2193"/>
      <c r="CM11" s="2186"/>
      <c r="CN11" s="2186"/>
      <c r="CO11" s="2186"/>
      <c r="CP11" s="2186"/>
      <c r="CQ11" s="2186"/>
      <c r="CR11" s="2186"/>
      <c r="CS11" s="2186"/>
      <c r="CT11" s="2186"/>
      <c r="CU11" s="2186"/>
      <c r="CV11" s="2186"/>
      <c r="CW11" s="2186"/>
      <c r="CX11" s="2187"/>
      <c r="CY11" s="2137" t="s">
        <v>2060</v>
      </c>
      <c r="CZ11" s="2138"/>
      <c r="DA11" s="2138"/>
      <c r="DB11" s="2138"/>
      <c r="DC11" s="2138"/>
      <c r="DD11" s="2138"/>
      <c r="DE11" s="2138"/>
      <c r="DF11" s="2138"/>
      <c r="DG11" s="2138"/>
      <c r="DH11" s="2138"/>
      <c r="DI11" s="2138"/>
      <c r="DJ11" s="2139"/>
      <c r="DK11" s="2193"/>
      <c r="DL11" s="2186"/>
      <c r="DM11" s="2186"/>
      <c r="DN11" s="2186"/>
      <c r="DO11" s="2186"/>
      <c r="DP11" s="2186"/>
      <c r="DQ11" s="2186"/>
      <c r="DR11" s="2186"/>
      <c r="DS11" s="2186"/>
      <c r="DT11" s="2186"/>
      <c r="DU11" s="2186"/>
      <c r="DV11" s="2186"/>
      <c r="DW11" s="2186"/>
      <c r="DX11" s="2186"/>
      <c r="DY11" s="2186"/>
      <c r="DZ11" s="2186"/>
      <c r="EA11" s="2186"/>
      <c r="EB11" s="2186"/>
      <c r="EC11" s="2186"/>
      <c r="ED11" s="2186"/>
      <c r="EE11" s="2186"/>
      <c r="EF11" s="2186"/>
      <c r="EG11" s="2186"/>
      <c r="EH11" s="2186"/>
      <c r="EI11" s="2186"/>
      <c r="EJ11" s="2186"/>
      <c r="EK11" s="2186"/>
      <c r="EL11" s="2186"/>
      <c r="EM11" s="2186"/>
      <c r="EN11" s="2186"/>
      <c r="EO11" s="2186"/>
      <c r="EP11" s="2186"/>
      <c r="EQ11" s="2186"/>
      <c r="ER11" s="2186"/>
      <c r="ES11" s="2186"/>
      <c r="ET11" s="2186"/>
      <c r="EU11" s="2186"/>
      <c r="EV11" s="2186"/>
      <c r="EW11" s="2186"/>
      <c r="EX11" s="2186"/>
      <c r="EY11" s="2186"/>
      <c r="EZ11" s="2186"/>
      <c r="FA11" s="2186"/>
      <c r="FB11" s="2186"/>
      <c r="FC11" s="2186"/>
      <c r="FD11" s="2186"/>
      <c r="FE11" s="2186"/>
      <c r="FF11" s="2186"/>
      <c r="FG11" s="2186"/>
      <c r="FH11" s="2186"/>
      <c r="FI11" s="2186"/>
      <c r="FJ11" s="2186"/>
      <c r="FK11" s="2186"/>
      <c r="FL11" s="2186"/>
      <c r="FM11" s="2186"/>
      <c r="FN11" s="2186"/>
      <c r="FO11" s="2186"/>
      <c r="FP11" s="2186"/>
      <c r="FQ11" s="2186"/>
      <c r="FR11" s="2186"/>
      <c r="FS11" s="2186"/>
      <c r="FT11" s="2186"/>
      <c r="FU11" s="2186"/>
      <c r="FV11" s="2186"/>
      <c r="FW11" s="2191"/>
      <c r="FX11" s="681"/>
    </row>
    <row r="12" spans="2:180" ht="12" customHeight="1">
      <c r="D12" s="854"/>
      <c r="E12" s="853"/>
      <c r="F12" s="1920"/>
      <c r="G12" s="1920"/>
      <c r="H12" s="1920"/>
      <c r="I12" s="1920"/>
      <c r="J12" s="2203"/>
      <c r="K12" s="2203"/>
      <c r="L12" s="2203"/>
      <c r="M12" s="2203"/>
      <c r="N12" s="2203"/>
      <c r="O12" s="1925" t="s">
        <v>2061</v>
      </c>
      <c r="P12" s="1925"/>
      <c r="Q12" s="1925"/>
      <c r="R12" s="1925"/>
      <c r="S12" s="1925" t="s">
        <v>2062</v>
      </c>
      <c r="T12" s="1925"/>
      <c r="U12" s="1925"/>
      <c r="V12" s="1925"/>
      <c r="W12" s="1925"/>
      <c r="X12" s="1925"/>
      <c r="Y12" s="1925"/>
      <c r="Z12" s="1925"/>
      <c r="AA12" s="1925"/>
      <c r="AB12" s="1925"/>
      <c r="AC12" s="2186"/>
      <c r="AD12" s="2186"/>
      <c r="AE12" s="2186"/>
      <c r="AF12" s="2186"/>
      <c r="AG12" s="2186"/>
      <c r="AH12" s="2186"/>
      <c r="AI12" s="2186"/>
      <c r="AJ12" s="2186"/>
      <c r="AK12" s="2186"/>
      <c r="AL12" s="2186"/>
      <c r="AM12" s="2186"/>
      <c r="AN12" s="2186"/>
      <c r="AO12" s="2186"/>
      <c r="AP12" s="2186"/>
      <c r="AQ12" s="2186"/>
      <c r="AR12" s="2186"/>
      <c r="AS12" s="2186"/>
      <c r="AT12" s="2186"/>
      <c r="AU12" s="2186"/>
      <c r="AV12" s="2186"/>
      <c r="AW12" s="2186"/>
      <c r="AX12" s="2186"/>
      <c r="AY12" s="2186"/>
      <c r="AZ12" s="2186"/>
      <c r="BA12" s="2186"/>
      <c r="BB12" s="2186"/>
      <c r="BC12" s="2186"/>
      <c r="BD12" s="2186"/>
      <c r="BE12" s="2186"/>
      <c r="BF12" s="2186"/>
      <c r="BG12" s="2186"/>
      <c r="BH12" s="2186"/>
      <c r="BI12" s="2186"/>
      <c r="BJ12" s="2186"/>
      <c r="BK12" s="2186"/>
      <c r="BL12" s="2186"/>
      <c r="BM12" s="2186"/>
      <c r="BN12" s="2186"/>
      <c r="BO12" s="2186"/>
      <c r="BP12" s="2186"/>
      <c r="BQ12" s="2186"/>
      <c r="BR12" s="2186"/>
      <c r="BS12" s="2187"/>
      <c r="BT12" s="2137" t="s">
        <v>2063</v>
      </c>
      <c r="BU12" s="2138"/>
      <c r="BV12" s="2138"/>
      <c r="BW12" s="2139"/>
      <c r="BX12" s="2137" t="s">
        <v>2064</v>
      </c>
      <c r="BY12" s="2138"/>
      <c r="BZ12" s="2138"/>
      <c r="CA12" s="2139"/>
      <c r="CB12" s="2137" t="s">
        <v>2065</v>
      </c>
      <c r="CC12" s="2139"/>
      <c r="CD12" s="2137" t="s">
        <v>2066</v>
      </c>
      <c r="CE12" s="2138"/>
      <c r="CF12" s="2138"/>
      <c r="CG12" s="2138"/>
      <c r="CH12" s="2138"/>
      <c r="CI12" s="2138"/>
      <c r="CJ12" s="2138"/>
      <c r="CK12" s="2139"/>
      <c r="CL12" s="2193"/>
      <c r="CM12" s="2186"/>
      <c r="CN12" s="2186"/>
      <c r="CO12" s="2186"/>
      <c r="CP12" s="2186"/>
      <c r="CQ12" s="2186"/>
      <c r="CR12" s="2186"/>
      <c r="CS12" s="2186"/>
      <c r="CT12" s="2186"/>
      <c r="CU12" s="2186"/>
      <c r="CV12" s="2186"/>
      <c r="CW12" s="2186"/>
      <c r="CX12" s="2187"/>
      <c r="CY12" s="2137" t="s">
        <v>2067</v>
      </c>
      <c r="CZ12" s="2138"/>
      <c r="DA12" s="2138"/>
      <c r="DB12" s="2138"/>
      <c r="DC12" s="2138"/>
      <c r="DD12" s="2139"/>
      <c r="DE12" s="2137" t="s">
        <v>2068</v>
      </c>
      <c r="DF12" s="2139"/>
      <c r="DG12" s="2137" t="s">
        <v>2066</v>
      </c>
      <c r="DH12" s="2138"/>
      <c r="DI12" s="2138"/>
      <c r="DJ12" s="2139"/>
      <c r="DK12" s="2193"/>
      <c r="DL12" s="2186"/>
      <c r="DM12" s="2186"/>
      <c r="DN12" s="2186"/>
      <c r="DO12" s="2186"/>
      <c r="DP12" s="2186"/>
      <c r="DQ12" s="2186"/>
      <c r="DR12" s="2186"/>
      <c r="DS12" s="2186"/>
      <c r="DT12" s="2186"/>
      <c r="DU12" s="2186"/>
      <c r="DV12" s="2186"/>
      <c r="DW12" s="2186"/>
      <c r="DX12" s="2186"/>
      <c r="DY12" s="2186"/>
      <c r="DZ12" s="2186"/>
      <c r="EA12" s="2186"/>
      <c r="EB12" s="2186"/>
      <c r="EC12" s="2186"/>
      <c r="ED12" s="2186"/>
      <c r="EE12" s="2186"/>
      <c r="EF12" s="2186"/>
      <c r="EG12" s="2186"/>
      <c r="EH12" s="2186"/>
      <c r="EI12" s="2186"/>
      <c r="EJ12" s="2186"/>
      <c r="EK12" s="2186"/>
      <c r="EL12" s="2186"/>
      <c r="EM12" s="2186"/>
      <c r="EN12" s="2186"/>
      <c r="EO12" s="2186"/>
      <c r="EP12" s="2186"/>
      <c r="EQ12" s="2186"/>
      <c r="ER12" s="2186"/>
      <c r="ES12" s="2186"/>
      <c r="ET12" s="2186"/>
      <c r="EU12" s="2186"/>
      <c r="EV12" s="2186"/>
      <c r="EW12" s="2186"/>
      <c r="EX12" s="2186"/>
      <c r="EY12" s="2186"/>
      <c r="EZ12" s="2186"/>
      <c r="FA12" s="2186"/>
      <c r="FB12" s="2186"/>
      <c r="FC12" s="2186"/>
      <c r="FD12" s="2186"/>
      <c r="FE12" s="2186"/>
      <c r="FF12" s="2186"/>
      <c r="FG12" s="2186"/>
      <c r="FH12" s="2186"/>
      <c r="FI12" s="2186"/>
      <c r="FJ12" s="2186"/>
      <c r="FK12" s="2186"/>
      <c r="FL12" s="2186"/>
      <c r="FM12" s="2186"/>
      <c r="FN12" s="2186"/>
      <c r="FO12" s="2186"/>
      <c r="FP12" s="2186"/>
      <c r="FQ12" s="2186"/>
      <c r="FR12" s="2186"/>
      <c r="FS12" s="2186"/>
      <c r="FT12" s="2186"/>
      <c r="FU12" s="2186"/>
      <c r="FV12" s="2186"/>
      <c r="FW12" s="2191"/>
      <c r="FX12" s="681"/>
    </row>
    <row r="13" spans="2:180" ht="36" customHeight="1">
      <c r="D13" s="854"/>
      <c r="E13" s="853"/>
      <c r="F13" s="1920"/>
      <c r="G13" s="1920"/>
      <c r="H13" s="1920"/>
      <c r="I13" s="1920"/>
      <c r="J13" s="2203"/>
      <c r="K13" s="2203"/>
      <c r="L13" s="2203"/>
      <c r="M13" s="2203"/>
      <c r="N13" s="2203"/>
      <c r="O13" s="1925" t="s">
        <v>2069</v>
      </c>
      <c r="P13" s="1925"/>
      <c r="Q13" s="1925"/>
      <c r="R13" s="1925"/>
      <c r="S13" s="2097" t="s">
        <v>2070</v>
      </c>
      <c r="T13" s="2172"/>
      <c r="U13" s="1840" t="s">
        <v>2071</v>
      </c>
      <c r="V13" s="1840"/>
      <c r="W13" s="1840"/>
      <c r="X13" s="1840"/>
      <c r="Y13" s="1840" t="s">
        <v>2072</v>
      </c>
      <c r="Z13" s="1840"/>
      <c r="AA13" s="1840"/>
      <c r="AB13" s="1840"/>
      <c r="AC13" s="2186"/>
      <c r="AD13" s="2186"/>
      <c r="AE13" s="2186"/>
      <c r="AF13" s="2186"/>
      <c r="AG13" s="2186"/>
      <c r="AH13" s="2186"/>
      <c r="AI13" s="2186"/>
      <c r="AJ13" s="2186"/>
      <c r="AK13" s="2186"/>
      <c r="AL13" s="2186"/>
      <c r="AM13" s="2186"/>
      <c r="AN13" s="2186"/>
      <c r="AO13" s="2186"/>
      <c r="AP13" s="2186"/>
      <c r="AQ13" s="2186"/>
      <c r="AR13" s="2186"/>
      <c r="AS13" s="2186"/>
      <c r="AT13" s="2186"/>
      <c r="AU13" s="2186"/>
      <c r="AV13" s="2186"/>
      <c r="AW13" s="2186"/>
      <c r="AX13" s="2186"/>
      <c r="AY13" s="2186"/>
      <c r="AZ13" s="2186"/>
      <c r="BA13" s="2186"/>
      <c r="BB13" s="2186"/>
      <c r="BC13" s="2186"/>
      <c r="BD13" s="2186"/>
      <c r="BE13" s="2186"/>
      <c r="BF13" s="2186"/>
      <c r="BG13" s="2186"/>
      <c r="BH13" s="2186"/>
      <c r="BI13" s="2186"/>
      <c r="BJ13" s="2186"/>
      <c r="BK13" s="2186"/>
      <c r="BL13" s="2186"/>
      <c r="BM13" s="2186"/>
      <c r="BN13" s="2186"/>
      <c r="BO13" s="2186"/>
      <c r="BP13" s="2186"/>
      <c r="BQ13" s="2186"/>
      <c r="BR13" s="2186"/>
      <c r="BS13" s="2187"/>
      <c r="BT13" s="2097" t="s">
        <v>2073</v>
      </c>
      <c r="BU13" s="2172"/>
      <c r="BV13" s="2097" t="s">
        <v>2074</v>
      </c>
      <c r="BW13" s="2172"/>
      <c r="BX13" s="2097" t="s">
        <v>2075</v>
      </c>
      <c r="BY13" s="2172"/>
      <c r="BZ13" s="2097" t="s">
        <v>2076</v>
      </c>
      <c r="CA13" s="2172"/>
      <c r="CB13" s="2097" t="s">
        <v>2077</v>
      </c>
      <c r="CC13" s="2172"/>
      <c r="CD13" s="2097" t="s">
        <v>2078</v>
      </c>
      <c r="CE13" s="2172"/>
      <c r="CF13" s="2097" t="s">
        <v>2079</v>
      </c>
      <c r="CG13" s="2172"/>
      <c r="CH13" s="2137" t="s">
        <v>2080</v>
      </c>
      <c r="CI13" s="2138"/>
      <c r="CJ13" s="2138"/>
      <c r="CK13" s="2139"/>
      <c r="CL13" s="2193"/>
      <c r="CM13" s="2186"/>
      <c r="CN13" s="2186"/>
      <c r="CO13" s="2186"/>
      <c r="CP13" s="2186"/>
      <c r="CQ13" s="2186"/>
      <c r="CR13" s="2186"/>
      <c r="CS13" s="2186"/>
      <c r="CT13" s="2186"/>
      <c r="CU13" s="2186"/>
      <c r="CV13" s="2186"/>
      <c r="CW13" s="2186"/>
      <c r="CX13" s="2187"/>
      <c r="CY13" s="2097" t="s">
        <v>2081</v>
      </c>
      <c r="CZ13" s="2172"/>
      <c r="DA13" s="2097" t="s">
        <v>2082</v>
      </c>
      <c r="DB13" s="2172"/>
      <c r="DC13" s="2097" t="s">
        <v>2083</v>
      </c>
      <c r="DD13" s="2172"/>
      <c r="DE13" s="2097" t="s">
        <v>2084</v>
      </c>
      <c r="DF13" s="2172"/>
      <c r="DG13" s="2137" t="s">
        <v>2085</v>
      </c>
      <c r="DH13" s="2138"/>
      <c r="DI13" s="2138"/>
      <c r="DJ13" s="2139"/>
      <c r="DK13" s="2193"/>
      <c r="DL13" s="2186"/>
      <c r="DM13" s="2186"/>
      <c r="DN13" s="2186"/>
      <c r="DO13" s="2186"/>
      <c r="DP13" s="2186"/>
      <c r="DQ13" s="2186"/>
      <c r="DR13" s="2186"/>
      <c r="DS13" s="2186"/>
      <c r="DT13" s="2186"/>
      <c r="DU13" s="2186"/>
      <c r="DV13" s="2186"/>
      <c r="DW13" s="2186"/>
      <c r="DX13" s="2186"/>
      <c r="DY13" s="2186"/>
      <c r="DZ13" s="2186"/>
      <c r="EA13" s="2186"/>
      <c r="EB13" s="2186"/>
      <c r="EC13" s="2186"/>
      <c r="ED13" s="2186"/>
      <c r="EE13" s="2186"/>
      <c r="EF13" s="2186"/>
      <c r="EG13" s="2186"/>
      <c r="EH13" s="2186"/>
      <c r="EI13" s="2186"/>
      <c r="EJ13" s="2186"/>
      <c r="EK13" s="2186"/>
      <c r="EL13" s="2186"/>
      <c r="EM13" s="2186"/>
      <c r="EN13" s="2186"/>
      <c r="EO13" s="2186"/>
      <c r="EP13" s="2186"/>
      <c r="EQ13" s="2186"/>
      <c r="ER13" s="2186"/>
      <c r="ES13" s="2186"/>
      <c r="ET13" s="2186"/>
      <c r="EU13" s="2186"/>
      <c r="EV13" s="2186"/>
      <c r="EW13" s="2186"/>
      <c r="EX13" s="2186"/>
      <c r="EY13" s="2186"/>
      <c r="EZ13" s="2186"/>
      <c r="FA13" s="2186"/>
      <c r="FB13" s="2186"/>
      <c r="FC13" s="2186"/>
      <c r="FD13" s="2186"/>
      <c r="FE13" s="2186"/>
      <c r="FF13" s="2186"/>
      <c r="FG13" s="2186"/>
      <c r="FH13" s="2186"/>
      <c r="FI13" s="2186"/>
      <c r="FJ13" s="2186"/>
      <c r="FK13" s="2186"/>
      <c r="FL13" s="2186"/>
      <c r="FM13" s="2186"/>
      <c r="FN13" s="2186"/>
      <c r="FO13" s="2186"/>
      <c r="FP13" s="2186"/>
      <c r="FQ13" s="2186"/>
      <c r="FR13" s="2186"/>
      <c r="FS13" s="2186"/>
      <c r="FT13" s="2186"/>
      <c r="FU13" s="2186"/>
      <c r="FV13" s="2186"/>
      <c r="FW13" s="2191"/>
      <c r="FX13" s="681"/>
    </row>
    <row r="14" spans="2:180" ht="36" customHeight="1">
      <c r="D14" s="854"/>
      <c r="E14" s="853"/>
      <c r="F14" s="1920"/>
      <c r="G14" s="1920"/>
      <c r="H14" s="1920"/>
      <c r="I14" s="1920"/>
      <c r="J14" s="2203"/>
      <c r="K14" s="2203"/>
      <c r="L14" s="2203"/>
      <c r="M14" s="2203"/>
      <c r="N14" s="2203"/>
      <c r="O14" s="2097" t="s">
        <v>2086</v>
      </c>
      <c r="P14" s="2172"/>
      <c r="Q14" s="2097" t="s">
        <v>2087</v>
      </c>
      <c r="R14" s="2172"/>
      <c r="S14" s="2098"/>
      <c r="T14" s="1926"/>
      <c r="U14" s="2097" t="s">
        <v>1874</v>
      </c>
      <c r="V14" s="2172"/>
      <c r="W14" s="2097" t="s">
        <v>1877</v>
      </c>
      <c r="X14" s="2172"/>
      <c r="Y14" s="2097" t="s">
        <v>1874</v>
      </c>
      <c r="Z14" s="2172"/>
      <c r="AA14" s="2097" t="s">
        <v>1884</v>
      </c>
      <c r="AB14" s="2172"/>
      <c r="AC14" s="2186"/>
      <c r="AD14" s="2186"/>
      <c r="AE14" s="2186"/>
      <c r="AF14" s="2186"/>
      <c r="AG14" s="2186"/>
      <c r="AH14" s="2186"/>
      <c r="AI14" s="2186"/>
      <c r="AJ14" s="2186"/>
      <c r="AK14" s="2186"/>
      <c r="AL14" s="2186"/>
      <c r="AM14" s="2186"/>
      <c r="AN14" s="2186"/>
      <c r="AO14" s="2186"/>
      <c r="AP14" s="2186"/>
      <c r="AQ14" s="2186"/>
      <c r="AR14" s="2186"/>
      <c r="AS14" s="2186"/>
      <c r="AT14" s="2186"/>
      <c r="AU14" s="2186"/>
      <c r="AV14" s="2186"/>
      <c r="AW14" s="2186"/>
      <c r="AX14" s="2186"/>
      <c r="AY14" s="2186"/>
      <c r="AZ14" s="2186"/>
      <c r="BA14" s="2186"/>
      <c r="BB14" s="2186"/>
      <c r="BC14" s="2186"/>
      <c r="BD14" s="2186"/>
      <c r="BE14" s="2186"/>
      <c r="BF14" s="2186"/>
      <c r="BG14" s="2186"/>
      <c r="BH14" s="2186"/>
      <c r="BI14" s="2186"/>
      <c r="BJ14" s="2186"/>
      <c r="BK14" s="2186"/>
      <c r="BL14" s="2186"/>
      <c r="BM14" s="2186"/>
      <c r="BN14" s="2186"/>
      <c r="BO14" s="2186"/>
      <c r="BP14" s="2186"/>
      <c r="BQ14" s="2186"/>
      <c r="BR14" s="2186"/>
      <c r="BS14" s="2187"/>
      <c r="BT14" s="2098"/>
      <c r="BU14" s="1926"/>
      <c r="BV14" s="2098"/>
      <c r="BW14" s="1926"/>
      <c r="BX14" s="2098"/>
      <c r="BY14" s="1926"/>
      <c r="BZ14" s="2098"/>
      <c r="CA14" s="1926"/>
      <c r="CB14" s="2098"/>
      <c r="CC14" s="1926"/>
      <c r="CD14" s="2098"/>
      <c r="CE14" s="1926"/>
      <c r="CF14" s="2098"/>
      <c r="CG14" s="1926"/>
      <c r="CH14" s="2097" t="s">
        <v>2088</v>
      </c>
      <c r="CI14" s="2172"/>
      <c r="CJ14" s="2097" t="s">
        <v>2089</v>
      </c>
      <c r="CK14" s="2172"/>
      <c r="CL14" s="2193"/>
      <c r="CM14" s="2186"/>
      <c r="CN14" s="2186"/>
      <c r="CO14" s="2186"/>
      <c r="CP14" s="2186"/>
      <c r="CQ14" s="2186"/>
      <c r="CR14" s="2186"/>
      <c r="CS14" s="2186"/>
      <c r="CT14" s="2186"/>
      <c r="CU14" s="2186"/>
      <c r="CV14" s="2186"/>
      <c r="CW14" s="2186"/>
      <c r="CX14" s="2187"/>
      <c r="CY14" s="2098"/>
      <c r="CZ14" s="1926"/>
      <c r="DA14" s="2098"/>
      <c r="DB14" s="1926"/>
      <c r="DC14" s="2098"/>
      <c r="DD14" s="1926"/>
      <c r="DE14" s="2098"/>
      <c r="DF14" s="1926"/>
      <c r="DG14" s="2097" t="s">
        <v>2090</v>
      </c>
      <c r="DH14" s="2172"/>
      <c r="DI14" s="2097" t="s">
        <v>2091</v>
      </c>
      <c r="DJ14" s="2172"/>
      <c r="DK14" s="2193"/>
      <c r="DL14" s="2186"/>
      <c r="DM14" s="2186"/>
      <c r="DN14" s="2186"/>
      <c r="DO14" s="2186"/>
      <c r="DP14" s="2186"/>
      <c r="DQ14" s="2186"/>
      <c r="DR14" s="2186"/>
      <c r="DS14" s="2186"/>
      <c r="DT14" s="2186"/>
      <c r="DU14" s="2186"/>
      <c r="DV14" s="2186"/>
      <c r="DW14" s="2186"/>
      <c r="DX14" s="2186"/>
      <c r="DY14" s="2186"/>
      <c r="DZ14" s="2186"/>
      <c r="EA14" s="2186"/>
      <c r="EB14" s="2186"/>
      <c r="EC14" s="2186"/>
      <c r="ED14" s="2186"/>
      <c r="EE14" s="2186"/>
      <c r="EF14" s="2186"/>
      <c r="EG14" s="2186"/>
      <c r="EH14" s="2186"/>
      <c r="EI14" s="2186"/>
      <c r="EJ14" s="2186"/>
      <c r="EK14" s="2186"/>
      <c r="EL14" s="2186"/>
      <c r="EM14" s="2186"/>
      <c r="EN14" s="2186"/>
      <c r="EO14" s="2186"/>
      <c r="EP14" s="2186"/>
      <c r="EQ14" s="2186"/>
      <c r="ER14" s="2186"/>
      <c r="ES14" s="2186"/>
      <c r="ET14" s="2186"/>
      <c r="EU14" s="2186"/>
      <c r="EV14" s="2186"/>
      <c r="EW14" s="2186"/>
      <c r="EX14" s="2186"/>
      <c r="EY14" s="2186"/>
      <c r="EZ14" s="2186"/>
      <c r="FA14" s="2186"/>
      <c r="FB14" s="2186"/>
      <c r="FC14" s="2186"/>
      <c r="FD14" s="2186"/>
      <c r="FE14" s="2186"/>
      <c r="FF14" s="2186"/>
      <c r="FG14" s="2186"/>
      <c r="FH14" s="2186"/>
      <c r="FI14" s="2186"/>
      <c r="FJ14" s="2186"/>
      <c r="FK14" s="2186"/>
      <c r="FL14" s="2186"/>
      <c r="FM14" s="2186"/>
      <c r="FN14" s="2186"/>
      <c r="FO14" s="2186"/>
      <c r="FP14" s="2186"/>
      <c r="FQ14" s="2186"/>
      <c r="FR14" s="2186"/>
      <c r="FS14" s="2186"/>
      <c r="FT14" s="2186"/>
      <c r="FU14" s="2186"/>
      <c r="FV14" s="2186"/>
      <c r="FW14" s="2191"/>
      <c r="FX14" s="681"/>
    </row>
    <row r="15" spans="2:180" ht="36" customHeight="1">
      <c r="D15" s="854"/>
      <c r="E15" s="853"/>
      <c r="F15" s="1920"/>
      <c r="G15" s="1920"/>
      <c r="H15" s="1920"/>
      <c r="I15" s="1920"/>
      <c r="J15" s="2203"/>
      <c r="K15" s="2203"/>
      <c r="L15" s="2203"/>
      <c r="M15" s="2203"/>
      <c r="N15" s="2203"/>
      <c r="O15" s="2099"/>
      <c r="P15" s="2173"/>
      <c r="Q15" s="2099"/>
      <c r="R15" s="2173"/>
      <c r="S15" s="2099"/>
      <c r="T15" s="2173"/>
      <c r="U15" s="2099"/>
      <c r="V15" s="2173"/>
      <c r="W15" s="2099"/>
      <c r="X15" s="2173"/>
      <c r="Y15" s="2099"/>
      <c r="Z15" s="2173"/>
      <c r="AA15" s="2099"/>
      <c r="AB15" s="2173"/>
      <c r="AC15" s="2186"/>
      <c r="AD15" s="2186"/>
      <c r="AE15" s="2186"/>
      <c r="AF15" s="2186"/>
      <c r="AG15" s="2186"/>
      <c r="AH15" s="2186"/>
      <c r="AI15" s="2186"/>
      <c r="AJ15" s="2186"/>
      <c r="AK15" s="2186"/>
      <c r="AL15" s="2186"/>
      <c r="AM15" s="2186"/>
      <c r="AN15" s="2186"/>
      <c r="AO15" s="2186"/>
      <c r="AP15" s="2186"/>
      <c r="AQ15" s="2186"/>
      <c r="AR15" s="2186"/>
      <c r="AS15" s="2186"/>
      <c r="AT15" s="2186"/>
      <c r="AU15" s="2186"/>
      <c r="AV15" s="2186"/>
      <c r="AW15" s="2186"/>
      <c r="AX15" s="2186"/>
      <c r="AY15" s="2186"/>
      <c r="AZ15" s="2186"/>
      <c r="BA15" s="2186"/>
      <c r="BB15" s="2186"/>
      <c r="BC15" s="2186"/>
      <c r="BD15" s="2186"/>
      <c r="BE15" s="2186"/>
      <c r="BF15" s="2186"/>
      <c r="BG15" s="2186"/>
      <c r="BH15" s="2186"/>
      <c r="BI15" s="2186"/>
      <c r="BJ15" s="2186"/>
      <c r="BK15" s="2186"/>
      <c r="BL15" s="2186"/>
      <c r="BM15" s="2186"/>
      <c r="BN15" s="2186"/>
      <c r="BO15" s="2186"/>
      <c r="BP15" s="2186"/>
      <c r="BQ15" s="2186"/>
      <c r="BR15" s="2186"/>
      <c r="BS15" s="2187"/>
      <c r="BT15" s="2099"/>
      <c r="BU15" s="2173"/>
      <c r="BV15" s="2099"/>
      <c r="BW15" s="2173"/>
      <c r="BX15" s="2099"/>
      <c r="BY15" s="2173"/>
      <c r="BZ15" s="2099"/>
      <c r="CA15" s="2173"/>
      <c r="CB15" s="2099"/>
      <c r="CC15" s="2173"/>
      <c r="CD15" s="2099"/>
      <c r="CE15" s="2173"/>
      <c r="CF15" s="2099"/>
      <c r="CG15" s="2173"/>
      <c r="CH15" s="2099"/>
      <c r="CI15" s="2173"/>
      <c r="CJ15" s="2099"/>
      <c r="CK15" s="2173"/>
      <c r="CL15" s="2193"/>
      <c r="CM15" s="2186"/>
      <c r="CN15" s="2186"/>
      <c r="CO15" s="2186"/>
      <c r="CP15" s="2186"/>
      <c r="CQ15" s="2186"/>
      <c r="CR15" s="2186"/>
      <c r="CS15" s="2186"/>
      <c r="CT15" s="2186"/>
      <c r="CU15" s="2186"/>
      <c r="CV15" s="2186"/>
      <c r="CW15" s="2186"/>
      <c r="CX15" s="2187"/>
      <c r="CY15" s="2099"/>
      <c r="CZ15" s="2173"/>
      <c r="DA15" s="2099"/>
      <c r="DB15" s="2173"/>
      <c r="DC15" s="2099"/>
      <c r="DD15" s="2173"/>
      <c r="DE15" s="2099"/>
      <c r="DF15" s="2173"/>
      <c r="DG15" s="2099"/>
      <c r="DH15" s="2173"/>
      <c r="DI15" s="2099"/>
      <c r="DJ15" s="2173"/>
      <c r="DK15" s="2193"/>
      <c r="DL15" s="2186"/>
      <c r="DM15" s="2186"/>
      <c r="DN15" s="2186"/>
      <c r="DO15" s="2186"/>
      <c r="DP15" s="2186"/>
      <c r="DQ15" s="2186"/>
      <c r="DR15" s="2186"/>
      <c r="DS15" s="2186"/>
      <c r="DT15" s="2186"/>
      <c r="DU15" s="2186"/>
      <c r="DV15" s="2186"/>
      <c r="DW15" s="2186"/>
      <c r="DX15" s="2186"/>
      <c r="DY15" s="2186"/>
      <c r="DZ15" s="2186"/>
      <c r="EA15" s="2186"/>
      <c r="EB15" s="2186"/>
      <c r="EC15" s="2186"/>
      <c r="ED15" s="2186"/>
      <c r="EE15" s="2186"/>
      <c r="EF15" s="2186"/>
      <c r="EG15" s="2186"/>
      <c r="EH15" s="2186"/>
      <c r="EI15" s="2186"/>
      <c r="EJ15" s="2186"/>
      <c r="EK15" s="2186"/>
      <c r="EL15" s="2186"/>
      <c r="EM15" s="2186"/>
      <c r="EN15" s="2186"/>
      <c r="EO15" s="2186"/>
      <c r="EP15" s="2186"/>
      <c r="EQ15" s="2186"/>
      <c r="ER15" s="2186"/>
      <c r="ES15" s="2186"/>
      <c r="ET15" s="2186"/>
      <c r="EU15" s="2186"/>
      <c r="EV15" s="2186"/>
      <c r="EW15" s="2186"/>
      <c r="EX15" s="2186"/>
      <c r="EY15" s="2186"/>
      <c r="EZ15" s="2186"/>
      <c r="FA15" s="2186"/>
      <c r="FB15" s="2186"/>
      <c r="FC15" s="2186"/>
      <c r="FD15" s="2186"/>
      <c r="FE15" s="2186"/>
      <c r="FF15" s="2186"/>
      <c r="FG15" s="2186"/>
      <c r="FH15" s="2186"/>
      <c r="FI15" s="2186"/>
      <c r="FJ15" s="2186"/>
      <c r="FK15" s="2186"/>
      <c r="FL15" s="2186"/>
      <c r="FM15" s="2186"/>
      <c r="FN15" s="2186"/>
      <c r="FO15" s="2186"/>
      <c r="FP15" s="2186"/>
      <c r="FQ15" s="2186"/>
      <c r="FR15" s="2186"/>
      <c r="FS15" s="2186"/>
      <c r="FT15" s="2186"/>
      <c r="FU15" s="2186"/>
      <c r="FV15" s="2186"/>
      <c r="FW15" s="2191"/>
      <c r="FX15" s="681"/>
    </row>
    <row r="16" spans="2:180" ht="12" customHeight="1">
      <c r="D16" s="854"/>
      <c r="E16" s="853"/>
      <c r="F16" s="1920"/>
      <c r="G16" s="1920"/>
      <c r="H16" s="1920"/>
      <c r="I16" s="1920"/>
      <c r="J16" s="2203"/>
      <c r="K16" s="2203"/>
      <c r="L16" s="2203"/>
      <c r="M16" s="2203"/>
      <c r="N16" s="2203"/>
      <c r="O16" s="2137" t="s">
        <v>1864</v>
      </c>
      <c r="P16" s="2139"/>
      <c r="Q16" s="2137" t="s">
        <v>1866</v>
      </c>
      <c r="R16" s="2139"/>
      <c r="S16" s="2137" t="s">
        <v>1870</v>
      </c>
      <c r="T16" s="2139"/>
      <c r="U16" s="2137" t="s">
        <v>1875</v>
      </c>
      <c r="V16" s="2139"/>
      <c r="W16" s="2137" t="s">
        <v>1878</v>
      </c>
      <c r="X16" s="2139"/>
      <c r="Y16" s="2137" t="s">
        <v>1882</v>
      </c>
      <c r="Z16" s="2139"/>
      <c r="AA16" s="2137" t="s">
        <v>1885</v>
      </c>
      <c r="AB16" s="2139"/>
      <c r="AC16" s="2186"/>
      <c r="AD16" s="2186"/>
      <c r="AE16" s="2186"/>
      <c r="AF16" s="2186"/>
      <c r="AG16" s="2186"/>
      <c r="AH16" s="2186"/>
      <c r="AI16" s="2186"/>
      <c r="AJ16" s="2186"/>
      <c r="AK16" s="2186"/>
      <c r="AL16" s="2186"/>
      <c r="AM16" s="2186"/>
      <c r="AN16" s="2186"/>
      <c r="AO16" s="2186"/>
      <c r="AP16" s="2186"/>
      <c r="AQ16" s="2186"/>
      <c r="AR16" s="2186"/>
      <c r="AS16" s="2186"/>
      <c r="AT16" s="2186"/>
      <c r="AU16" s="2186"/>
      <c r="AV16" s="2186"/>
      <c r="AW16" s="2186"/>
      <c r="AX16" s="2186"/>
      <c r="AY16" s="2186"/>
      <c r="AZ16" s="2186"/>
      <c r="BA16" s="2186"/>
      <c r="BB16" s="2186"/>
      <c r="BC16" s="2186"/>
      <c r="BD16" s="2186"/>
      <c r="BE16" s="2186"/>
      <c r="BF16" s="2186"/>
      <c r="BG16" s="2186"/>
      <c r="BH16" s="2186"/>
      <c r="BI16" s="2186"/>
      <c r="BJ16" s="2186"/>
      <c r="BK16" s="2186"/>
      <c r="BL16" s="2186"/>
      <c r="BM16" s="2186"/>
      <c r="BN16" s="2186"/>
      <c r="BO16" s="2186"/>
      <c r="BP16" s="2186"/>
      <c r="BQ16" s="2186"/>
      <c r="BR16" s="2186"/>
      <c r="BS16" s="2187"/>
      <c r="BT16" s="2137" t="s">
        <v>1644</v>
      </c>
      <c r="BU16" s="2139"/>
      <c r="BV16" s="2137" t="s">
        <v>1644</v>
      </c>
      <c r="BW16" s="2139"/>
      <c r="BX16" s="2137" t="s">
        <v>1644</v>
      </c>
      <c r="BY16" s="2139"/>
      <c r="BZ16" s="2137" t="s">
        <v>1644</v>
      </c>
      <c r="CA16" s="2139"/>
      <c r="CB16" s="2137" t="s">
        <v>2092</v>
      </c>
      <c r="CC16" s="2139"/>
      <c r="CD16" s="2137" t="s">
        <v>1644</v>
      </c>
      <c r="CE16" s="2139"/>
      <c r="CF16" s="2137" t="s">
        <v>2093</v>
      </c>
      <c r="CG16" s="2139"/>
      <c r="CH16" s="2137" t="s">
        <v>2094</v>
      </c>
      <c r="CI16" s="2139"/>
      <c r="CJ16" s="2137" t="s">
        <v>2094</v>
      </c>
      <c r="CK16" s="2139"/>
      <c r="CL16" s="2193"/>
      <c r="CM16" s="2186"/>
      <c r="CN16" s="2186"/>
      <c r="CO16" s="2186"/>
      <c r="CP16" s="2186"/>
      <c r="CQ16" s="2186"/>
      <c r="CR16" s="2186"/>
      <c r="CS16" s="2186"/>
      <c r="CT16" s="2186"/>
      <c r="CU16" s="2186"/>
      <c r="CV16" s="2186"/>
      <c r="CW16" s="2186"/>
      <c r="CX16" s="2187"/>
      <c r="CY16" s="2097" t="s">
        <v>1644</v>
      </c>
      <c r="CZ16" s="2172"/>
      <c r="DA16" s="2097" t="s">
        <v>1644</v>
      </c>
      <c r="DB16" s="2172"/>
      <c r="DC16" s="2097" t="s">
        <v>1644</v>
      </c>
      <c r="DD16" s="2172"/>
      <c r="DE16" s="2137" t="s">
        <v>2092</v>
      </c>
      <c r="DF16" s="2139"/>
      <c r="DG16" s="2137" t="s">
        <v>2095</v>
      </c>
      <c r="DH16" s="2139"/>
      <c r="DI16" s="2137" t="s">
        <v>2095</v>
      </c>
      <c r="DJ16" s="2139"/>
      <c r="DK16" s="2193"/>
      <c r="DL16" s="2186"/>
      <c r="DM16" s="2186"/>
      <c r="DN16" s="2186"/>
      <c r="DO16" s="2186"/>
      <c r="DP16" s="2186"/>
      <c r="DQ16" s="2186"/>
      <c r="DR16" s="2186"/>
      <c r="DS16" s="2186"/>
      <c r="DT16" s="2186"/>
      <c r="DU16" s="2186"/>
      <c r="DV16" s="2186"/>
      <c r="DW16" s="2186"/>
      <c r="DX16" s="2186"/>
      <c r="DY16" s="2186"/>
      <c r="DZ16" s="2186"/>
      <c r="EA16" s="2186"/>
      <c r="EB16" s="2186"/>
      <c r="EC16" s="2186"/>
      <c r="ED16" s="2186"/>
      <c r="EE16" s="2186"/>
      <c r="EF16" s="2186"/>
      <c r="EG16" s="2186"/>
      <c r="EH16" s="2186"/>
      <c r="EI16" s="2186"/>
      <c r="EJ16" s="2186"/>
      <c r="EK16" s="2186"/>
      <c r="EL16" s="2186"/>
      <c r="EM16" s="2186"/>
      <c r="EN16" s="2186"/>
      <c r="EO16" s="2186"/>
      <c r="EP16" s="2186"/>
      <c r="EQ16" s="2186"/>
      <c r="ER16" s="2186"/>
      <c r="ES16" s="2186"/>
      <c r="ET16" s="2186"/>
      <c r="EU16" s="2186"/>
      <c r="EV16" s="2186"/>
      <c r="EW16" s="2186"/>
      <c r="EX16" s="2186"/>
      <c r="EY16" s="2186"/>
      <c r="EZ16" s="2186"/>
      <c r="FA16" s="2186"/>
      <c r="FB16" s="2186"/>
      <c r="FC16" s="2186"/>
      <c r="FD16" s="2186"/>
      <c r="FE16" s="2186"/>
      <c r="FF16" s="2186"/>
      <c r="FG16" s="2186"/>
      <c r="FH16" s="2186"/>
      <c r="FI16" s="2186"/>
      <c r="FJ16" s="2186"/>
      <c r="FK16" s="2186"/>
      <c r="FL16" s="2186"/>
      <c r="FM16" s="2186"/>
      <c r="FN16" s="2186"/>
      <c r="FO16" s="2186"/>
      <c r="FP16" s="2186"/>
      <c r="FQ16" s="2186"/>
      <c r="FR16" s="2186"/>
      <c r="FS16" s="2186"/>
      <c r="FT16" s="2186"/>
      <c r="FU16" s="2186"/>
      <c r="FV16" s="2186"/>
      <c r="FW16" s="2191"/>
      <c r="FX16" s="681"/>
    </row>
    <row r="17" spans="1:184" ht="15" customHeight="1">
      <c r="E17" s="853"/>
      <c r="F17" s="1920"/>
      <c r="G17" s="1920"/>
      <c r="H17" s="1920"/>
      <c r="I17" s="1920"/>
      <c r="J17" s="2203"/>
      <c r="K17" s="2203"/>
      <c r="L17" s="2203"/>
      <c r="M17" s="2203"/>
      <c r="N17" s="2203"/>
      <c r="O17" s="1103" t="s">
        <v>2096</v>
      </c>
      <c r="P17" s="1103" t="s">
        <v>2097</v>
      </c>
      <c r="Q17" s="1103" t="s">
        <v>2096</v>
      </c>
      <c r="R17" s="1103" t="s">
        <v>2097</v>
      </c>
      <c r="S17" s="1103" t="s">
        <v>2096</v>
      </c>
      <c r="T17" s="1103" t="s">
        <v>2097</v>
      </c>
      <c r="U17" s="1103" t="s">
        <v>2096</v>
      </c>
      <c r="V17" s="1103" t="s">
        <v>2097</v>
      </c>
      <c r="W17" s="1103" t="s">
        <v>2096</v>
      </c>
      <c r="X17" s="1103" t="s">
        <v>2097</v>
      </c>
      <c r="Y17" s="1103" t="s">
        <v>2096</v>
      </c>
      <c r="Z17" s="1103" t="s">
        <v>2097</v>
      </c>
      <c r="AA17" s="1103" t="s">
        <v>2096</v>
      </c>
      <c r="AB17" s="1103" t="s">
        <v>2097</v>
      </c>
      <c r="AC17" s="2186"/>
      <c r="AD17" s="2186"/>
      <c r="AE17" s="2186"/>
      <c r="AF17" s="2186"/>
      <c r="AG17" s="2186"/>
      <c r="AH17" s="2186"/>
      <c r="AI17" s="2186"/>
      <c r="AJ17" s="2186"/>
      <c r="AK17" s="2186"/>
      <c r="AL17" s="2186"/>
      <c r="AM17" s="2186"/>
      <c r="AN17" s="2186"/>
      <c r="AO17" s="2186"/>
      <c r="AP17" s="2186"/>
      <c r="AQ17" s="2186"/>
      <c r="AR17" s="2186"/>
      <c r="AS17" s="2186"/>
      <c r="AT17" s="2186"/>
      <c r="AU17" s="2186"/>
      <c r="AV17" s="2186"/>
      <c r="AW17" s="2186"/>
      <c r="AX17" s="2186"/>
      <c r="AY17" s="2186"/>
      <c r="AZ17" s="2186"/>
      <c r="BA17" s="2186"/>
      <c r="BB17" s="2186"/>
      <c r="BC17" s="2186"/>
      <c r="BD17" s="2186"/>
      <c r="BE17" s="2186"/>
      <c r="BF17" s="2186"/>
      <c r="BG17" s="2186"/>
      <c r="BH17" s="2186"/>
      <c r="BI17" s="2186"/>
      <c r="BJ17" s="2186"/>
      <c r="BK17" s="2186"/>
      <c r="BL17" s="2186"/>
      <c r="BM17" s="2186"/>
      <c r="BN17" s="2186"/>
      <c r="BO17" s="2186"/>
      <c r="BP17" s="2186"/>
      <c r="BQ17" s="2186"/>
      <c r="BR17" s="2186"/>
      <c r="BS17" s="2187"/>
      <c r="BT17" s="1103" t="s">
        <v>2096</v>
      </c>
      <c r="BU17" s="1103" t="s">
        <v>2097</v>
      </c>
      <c r="BV17" s="1103" t="s">
        <v>2096</v>
      </c>
      <c r="BW17" s="1103" t="s">
        <v>2097</v>
      </c>
      <c r="BX17" s="1103" t="s">
        <v>2096</v>
      </c>
      <c r="BY17" s="1103" t="s">
        <v>2097</v>
      </c>
      <c r="BZ17" s="1103" t="s">
        <v>2096</v>
      </c>
      <c r="CA17" s="1103" t="s">
        <v>2097</v>
      </c>
      <c r="CB17" s="1103" t="s">
        <v>2096</v>
      </c>
      <c r="CC17" s="1103" t="s">
        <v>2097</v>
      </c>
      <c r="CD17" s="1103" t="s">
        <v>2096</v>
      </c>
      <c r="CE17" s="1103" t="s">
        <v>2097</v>
      </c>
      <c r="CF17" s="1103" t="s">
        <v>2096</v>
      </c>
      <c r="CG17" s="1103" t="s">
        <v>2097</v>
      </c>
      <c r="CH17" s="1103" t="s">
        <v>2096</v>
      </c>
      <c r="CI17" s="1103" t="s">
        <v>2097</v>
      </c>
      <c r="CJ17" s="1103" t="s">
        <v>2096</v>
      </c>
      <c r="CK17" s="1103" t="s">
        <v>2097</v>
      </c>
      <c r="CL17" s="2193"/>
      <c r="CM17" s="2186"/>
      <c r="CN17" s="2186"/>
      <c r="CO17" s="2186"/>
      <c r="CP17" s="2186"/>
      <c r="CQ17" s="2186"/>
      <c r="CR17" s="2186"/>
      <c r="CS17" s="2186"/>
      <c r="CT17" s="2186"/>
      <c r="CU17" s="2186"/>
      <c r="CV17" s="2186"/>
      <c r="CW17" s="2186"/>
      <c r="CX17" s="2187"/>
      <c r="CY17" s="1103" t="s">
        <v>2096</v>
      </c>
      <c r="CZ17" s="1103" t="s">
        <v>2097</v>
      </c>
      <c r="DA17" s="1103" t="s">
        <v>2096</v>
      </c>
      <c r="DB17" s="1103" t="s">
        <v>2097</v>
      </c>
      <c r="DC17" s="1103" t="s">
        <v>2096</v>
      </c>
      <c r="DD17" s="1103" t="s">
        <v>2097</v>
      </c>
      <c r="DE17" s="1103" t="s">
        <v>2096</v>
      </c>
      <c r="DF17" s="1103" t="s">
        <v>2097</v>
      </c>
      <c r="DG17" s="1103" t="s">
        <v>2096</v>
      </c>
      <c r="DH17" s="1103" t="s">
        <v>2097</v>
      </c>
      <c r="DI17" s="1103" t="s">
        <v>2096</v>
      </c>
      <c r="DJ17" s="1103" t="s">
        <v>2097</v>
      </c>
      <c r="DK17" s="2193"/>
      <c r="DL17" s="2186"/>
      <c r="DM17" s="2186"/>
      <c r="DN17" s="2186"/>
      <c r="DO17" s="2186"/>
      <c r="DP17" s="2186"/>
      <c r="DQ17" s="2186"/>
      <c r="DR17" s="2186"/>
      <c r="DS17" s="2186"/>
      <c r="DT17" s="2186"/>
      <c r="DU17" s="2186"/>
      <c r="DV17" s="2186"/>
      <c r="DW17" s="2186"/>
      <c r="DX17" s="2186"/>
      <c r="DY17" s="2186"/>
      <c r="DZ17" s="2186"/>
      <c r="EA17" s="2186"/>
      <c r="EB17" s="2186"/>
      <c r="EC17" s="2186"/>
      <c r="ED17" s="2186"/>
      <c r="EE17" s="2186"/>
      <c r="EF17" s="2186"/>
      <c r="EG17" s="2186"/>
      <c r="EH17" s="2186"/>
      <c r="EI17" s="2186"/>
      <c r="EJ17" s="2186"/>
      <c r="EK17" s="2186"/>
      <c r="EL17" s="2186"/>
      <c r="EM17" s="2186"/>
      <c r="EN17" s="2186"/>
      <c r="EO17" s="2186"/>
      <c r="EP17" s="2186"/>
      <c r="EQ17" s="2186"/>
      <c r="ER17" s="2186"/>
      <c r="ES17" s="2186"/>
      <c r="ET17" s="2186"/>
      <c r="EU17" s="2186"/>
      <c r="EV17" s="2186"/>
      <c r="EW17" s="2186"/>
      <c r="EX17" s="2186"/>
      <c r="EY17" s="2186"/>
      <c r="EZ17" s="2186"/>
      <c r="FA17" s="2186"/>
      <c r="FB17" s="2186"/>
      <c r="FC17" s="2186"/>
      <c r="FD17" s="2186"/>
      <c r="FE17" s="2186"/>
      <c r="FF17" s="2186"/>
      <c r="FG17" s="2186"/>
      <c r="FH17" s="2186"/>
      <c r="FI17" s="2186"/>
      <c r="FJ17" s="2186"/>
      <c r="FK17" s="2186"/>
      <c r="FL17" s="2186"/>
      <c r="FM17" s="2186"/>
      <c r="FN17" s="2186"/>
      <c r="FO17" s="2186"/>
      <c r="FP17" s="2186"/>
      <c r="FQ17" s="2186"/>
      <c r="FR17" s="2186"/>
      <c r="FS17" s="2186"/>
      <c r="FT17" s="2186"/>
      <c r="FU17" s="2186"/>
      <c r="FV17" s="2186"/>
      <c r="FW17" s="2192"/>
      <c r="FX17" s="681"/>
    </row>
    <row r="18" spans="1:184" s="843" customFormat="1" ht="12" hidden="1" customHeight="1">
      <c r="B18" s="841"/>
      <c r="E18" s="855"/>
      <c r="F18" s="1104"/>
      <c r="G18" s="1104"/>
      <c r="H18" s="1104"/>
      <c r="I18" s="1104"/>
      <c r="J18" s="1105"/>
      <c r="K18" s="1105"/>
      <c r="L18" s="1105"/>
      <c r="M18" s="1105"/>
      <c r="N18" s="1105"/>
      <c r="O18" s="1104"/>
      <c r="P18" s="1104"/>
      <c r="Q18" s="1104"/>
      <c r="R18" s="1104"/>
      <c r="S18" s="1104"/>
      <c r="T18" s="1104"/>
      <c r="U18" s="1106"/>
      <c r="V18" s="1106"/>
      <c r="W18" s="1106"/>
      <c r="X18" s="1106"/>
      <c r="Y18" s="1106"/>
      <c r="Z18" s="1106"/>
      <c r="AA18" s="1106"/>
      <c r="AB18" s="1104"/>
      <c r="AC18" s="1105"/>
      <c r="AD18" s="1105"/>
      <c r="AE18" s="1105"/>
      <c r="AF18" s="1105"/>
      <c r="AG18" s="1105"/>
      <c r="AH18" s="1105"/>
      <c r="AI18" s="1105"/>
      <c r="AJ18" s="1105"/>
      <c r="AK18" s="1105"/>
      <c r="AL18" s="1105"/>
      <c r="AM18" s="1105"/>
      <c r="AN18" s="1105"/>
      <c r="AO18" s="1105"/>
      <c r="AP18" s="1105"/>
      <c r="AQ18" s="1105"/>
      <c r="AR18" s="1105"/>
      <c r="AS18" s="1105"/>
      <c r="AT18" s="1105"/>
      <c r="AU18" s="1105"/>
      <c r="AV18" s="1105"/>
      <c r="AW18" s="1105"/>
      <c r="AX18" s="1105"/>
      <c r="AY18" s="1105"/>
      <c r="AZ18" s="1105"/>
      <c r="BA18" s="1105"/>
      <c r="BB18" s="1105"/>
      <c r="BC18" s="1105"/>
      <c r="BD18" s="1105"/>
      <c r="BE18" s="1105"/>
      <c r="BF18" s="1105"/>
      <c r="BG18" s="1105"/>
      <c r="BH18" s="1105"/>
      <c r="BI18" s="1105"/>
      <c r="BJ18" s="1105"/>
      <c r="BK18" s="1105"/>
      <c r="BL18" s="1105"/>
      <c r="BM18" s="1105"/>
      <c r="BN18" s="1105"/>
      <c r="BO18" s="1105"/>
      <c r="BP18" s="1105"/>
      <c r="BQ18" s="1105"/>
      <c r="BR18" s="1105"/>
      <c r="BS18" s="1105"/>
      <c r="BT18" s="1107"/>
      <c r="BU18" s="1107"/>
      <c r="BV18" s="1107"/>
      <c r="BW18" s="1107"/>
      <c r="BX18" s="1107"/>
      <c r="BY18" s="1107"/>
      <c r="BZ18" s="1107"/>
      <c r="CA18" s="1107"/>
      <c r="CB18" s="1107"/>
      <c r="CC18" s="1107"/>
      <c r="CD18" s="1107"/>
      <c r="CE18" s="1107"/>
      <c r="CF18" s="1107"/>
      <c r="CG18" s="1107"/>
      <c r="CH18" s="1107"/>
      <c r="CI18" s="1107"/>
      <c r="CJ18" s="1107"/>
      <c r="CK18" s="1107"/>
      <c r="CL18" s="1105"/>
      <c r="CM18" s="1105"/>
      <c r="CN18" s="1105"/>
      <c r="CO18" s="1105"/>
      <c r="CP18" s="1105"/>
      <c r="CQ18" s="1105"/>
      <c r="CR18" s="1105"/>
      <c r="CS18" s="1105"/>
      <c r="CT18" s="1105"/>
      <c r="CU18" s="1105"/>
      <c r="CV18" s="1105"/>
      <c r="CW18" s="1105"/>
      <c r="CX18" s="1105"/>
      <c r="CY18" s="1107"/>
      <c r="CZ18" s="1107"/>
      <c r="DA18" s="1107"/>
      <c r="DB18" s="1107"/>
      <c r="DC18" s="1107"/>
      <c r="DD18" s="1107"/>
      <c r="DE18" s="1107"/>
      <c r="DF18" s="1107"/>
      <c r="DG18" s="1107"/>
      <c r="DH18" s="1107"/>
      <c r="DI18" s="1107"/>
      <c r="DJ18" s="1107"/>
      <c r="DK18" s="1105"/>
      <c r="DL18" s="1105"/>
      <c r="DM18" s="1105"/>
      <c r="DN18" s="1105"/>
      <c r="DO18" s="1105"/>
      <c r="DP18" s="1105"/>
      <c r="DQ18" s="1105"/>
      <c r="DR18" s="1105"/>
      <c r="DS18" s="1105"/>
      <c r="DT18" s="1105"/>
      <c r="DU18" s="1105"/>
      <c r="DV18" s="1105"/>
      <c r="DW18" s="1105"/>
      <c r="DX18" s="1105"/>
      <c r="DY18" s="1105"/>
      <c r="DZ18" s="1105"/>
      <c r="EA18" s="1105"/>
      <c r="EB18" s="1105"/>
      <c r="EC18" s="1105"/>
      <c r="ED18" s="1105"/>
      <c r="EE18" s="1105"/>
      <c r="EF18" s="1105"/>
      <c r="EG18" s="1105"/>
      <c r="EH18" s="1105"/>
      <c r="EI18" s="1105"/>
      <c r="EJ18" s="1105"/>
      <c r="EK18" s="1105"/>
      <c r="EL18" s="1105"/>
      <c r="EM18" s="1105"/>
      <c r="EN18" s="1105"/>
      <c r="EO18" s="1105"/>
      <c r="EP18" s="1105"/>
      <c r="EQ18" s="1105"/>
      <c r="ER18" s="1105"/>
      <c r="ES18" s="1105"/>
      <c r="ET18" s="1105"/>
      <c r="EU18" s="1105"/>
      <c r="EV18" s="1105"/>
      <c r="EW18" s="1105"/>
      <c r="EX18" s="1105"/>
      <c r="EY18" s="1105"/>
      <c r="EZ18" s="1105"/>
      <c r="FA18" s="1105"/>
      <c r="FB18" s="1105"/>
      <c r="FC18" s="1105"/>
      <c r="FD18" s="1105"/>
      <c r="FE18" s="1105"/>
      <c r="FF18" s="1105"/>
      <c r="FG18" s="1105"/>
      <c r="FH18" s="1105"/>
      <c r="FI18" s="1105"/>
      <c r="FJ18" s="1105"/>
      <c r="FK18" s="1105"/>
      <c r="FL18" s="1105"/>
      <c r="FM18" s="1105"/>
      <c r="FN18" s="1105"/>
      <c r="FO18" s="1105"/>
      <c r="FP18" s="1105"/>
      <c r="FQ18" s="1105"/>
      <c r="FR18" s="1105"/>
      <c r="FS18" s="1105"/>
      <c r="FT18" s="1105"/>
      <c r="FU18" s="1105"/>
      <c r="FV18" s="1105"/>
      <c r="FW18" s="1104"/>
      <c r="FX18" s="1108"/>
    </row>
    <row r="19" spans="1:184" s="843" customFormat="1" ht="11.25" hidden="1" customHeight="1">
      <c r="B19" s="841"/>
      <c r="E19" s="855"/>
      <c r="F19" s="1104"/>
      <c r="G19" s="1104"/>
      <c r="H19" s="1104"/>
      <c r="I19" s="1104"/>
      <c r="J19" s="1104"/>
      <c r="K19" s="1104"/>
      <c r="L19" s="1104"/>
      <c r="M19" s="1104"/>
      <c r="N19" s="1104"/>
      <c r="O19" s="1104"/>
      <c r="P19" s="1104"/>
      <c r="Q19" s="1104"/>
      <c r="R19" s="1104"/>
      <c r="S19" s="1104"/>
      <c r="T19" s="1104"/>
      <c r="U19" s="1106"/>
      <c r="V19" s="1106"/>
      <c r="W19" s="1106"/>
      <c r="X19" s="1106"/>
      <c r="Y19" s="1106"/>
      <c r="Z19" s="1106"/>
      <c r="AA19" s="1106"/>
      <c r="AB19" s="1104"/>
      <c r="AC19" s="1104"/>
      <c r="AD19" s="1104"/>
      <c r="AE19" s="1104"/>
      <c r="AF19" s="1104"/>
      <c r="AG19" s="1104"/>
      <c r="AH19" s="1104"/>
      <c r="AI19" s="1104"/>
      <c r="AJ19" s="1104"/>
      <c r="AK19" s="1104"/>
      <c r="AL19" s="1104"/>
      <c r="AM19" s="1104"/>
      <c r="AN19" s="1104"/>
      <c r="AO19" s="1104"/>
      <c r="AP19" s="1104"/>
      <c r="AQ19" s="1104"/>
      <c r="AR19" s="1104"/>
      <c r="AS19" s="1104"/>
      <c r="AT19" s="1104"/>
      <c r="AU19" s="1104"/>
      <c r="AV19" s="1104"/>
      <c r="AW19" s="1104"/>
      <c r="AX19" s="1104"/>
      <c r="AY19" s="1104"/>
      <c r="AZ19" s="1104"/>
      <c r="BA19" s="1104"/>
      <c r="BB19" s="1104"/>
      <c r="BC19" s="1104"/>
      <c r="BD19" s="1104"/>
      <c r="BE19" s="1104"/>
      <c r="BF19" s="1104"/>
      <c r="BG19" s="1104"/>
      <c r="BH19" s="1104"/>
      <c r="BI19" s="1104"/>
      <c r="BJ19" s="1104"/>
      <c r="BK19" s="1104"/>
      <c r="BL19" s="1104"/>
      <c r="BM19" s="1104"/>
      <c r="BN19" s="1104"/>
      <c r="BO19" s="1104"/>
      <c r="BP19" s="1104"/>
      <c r="BQ19" s="1104"/>
      <c r="BR19" s="1104"/>
      <c r="BS19" s="1104"/>
      <c r="BT19" s="1104"/>
      <c r="BU19" s="1104"/>
      <c r="BV19" s="1104"/>
      <c r="BW19" s="1104"/>
      <c r="BX19" s="1104"/>
      <c r="BY19" s="1104"/>
      <c r="BZ19" s="1104"/>
      <c r="CA19" s="1104"/>
      <c r="CB19" s="1104"/>
      <c r="CC19" s="1104"/>
      <c r="CD19" s="1104"/>
      <c r="CE19" s="1104"/>
      <c r="CF19" s="1104"/>
      <c r="CG19" s="1104"/>
      <c r="CH19" s="1104"/>
      <c r="CI19" s="1104"/>
      <c r="CJ19" s="1104"/>
      <c r="CK19" s="1104"/>
      <c r="CL19" s="1104"/>
      <c r="CM19" s="1104"/>
      <c r="CN19" s="1104"/>
      <c r="CO19" s="1104"/>
      <c r="CP19" s="1104"/>
      <c r="CQ19" s="1104"/>
      <c r="CR19" s="1104"/>
      <c r="CS19" s="1104"/>
      <c r="CT19" s="1104"/>
      <c r="CU19" s="1104"/>
      <c r="CV19" s="1104"/>
      <c r="CW19" s="1104"/>
      <c r="CX19" s="1104"/>
      <c r="CY19" s="1104"/>
      <c r="CZ19" s="1104"/>
      <c r="DA19" s="1104"/>
      <c r="DB19" s="1104"/>
      <c r="DC19" s="1104"/>
      <c r="DD19" s="1104"/>
      <c r="DE19" s="1104"/>
      <c r="DF19" s="1104"/>
      <c r="DG19" s="1104"/>
      <c r="DH19" s="1104"/>
      <c r="DI19" s="1104"/>
      <c r="DJ19" s="1104"/>
      <c r="DK19" s="1104"/>
      <c r="DL19" s="1104"/>
      <c r="DM19" s="1104"/>
      <c r="DN19" s="1104"/>
      <c r="DO19" s="1104"/>
      <c r="DP19" s="1104"/>
      <c r="DQ19" s="1104"/>
      <c r="DR19" s="1104"/>
      <c r="DS19" s="1104"/>
      <c r="DT19" s="1104"/>
      <c r="DU19" s="1104"/>
      <c r="DV19" s="1104"/>
      <c r="DW19" s="1104"/>
      <c r="DX19" s="1104"/>
      <c r="DY19" s="1104"/>
      <c r="DZ19" s="1104"/>
      <c r="EA19" s="1104"/>
      <c r="EB19" s="1104"/>
      <c r="EC19" s="1104"/>
      <c r="ED19" s="1104"/>
      <c r="EE19" s="1104"/>
      <c r="EF19" s="1104"/>
      <c r="EG19" s="1104"/>
      <c r="EH19" s="1104"/>
      <c r="EI19" s="1104"/>
      <c r="EJ19" s="1104"/>
      <c r="EK19" s="1104"/>
      <c r="EL19" s="1104"/>
      <c r="EM19" s="1104"/>
      <c r="EN19" s="1104"/>
      <c r="EO19" s="1104"/>
      <c r="EP19" s="1104"/>
      <c r="EQ19" s="1104"/>
      <c r="ER19" s="1104"/>
      <c r="ES19" s="1104"/>
      <c r="ET19" s="1104"/>
      <c r="EU19" s="1104"/>
      <c r="EV19" s="1104"/>
      <c r="EW19" s="1104"/>
      <c r="EX19" s="1104"/>
      <c r="EY19" s="1104"/>
      <c r="EZ19" s="1104"/>
      <c r="FA19" s="1104"/>
      <c r="FB19" s="1104"/>
      <c r="FC19" s="1104"/>
      <c r="FD19" s="1104"/>
      <c r="FE19" s="1104"/>
      <c r="FF19" s="1104"/>
      <c r="FG19" s="1104"/>
      <c r="FH19" s="1104"/>
      <c r="FI19" s="1104"/>
      <c r="FJ19" s="1104"/>
      <c r="FK19" s="1104"/>
      <c r="FL19" s="1104"/>
      <c r="FM19" s="1104"/>
      <c r="FN19" s="1104"/>
      <c r="FO19" s="1104"/>
      <c r="FP19" s="1104"/>
      <c r="FQ19" s="1104"/>
      <c r="FR19" s="1104"/>
      <c r="FS19" s="1104"/>
      <c r="FT19" s="1104"/>
      <c r="FU19" s="1104"/>
      <c r="FV19" s="1104"/>
      <c r="FW19" s="1104"/>
      <c r="FX19" s="1108"/>
    </row>
    <row r="20" spans="1:184" s="843" customFormat="1" ht="11.25" hidden="1" customHeight="1">
      <c r="B20" s="856"/>
      <c r="D20" s="842"/>
      <c r="E20" s="855"/>
      <c r="F20" s="1109" t="s">
        <v>376</v>
      </c>
      <c r="G20" s="1110"/>
      <c r="H20" s="1111"/>
      <c r="I20" s="1111"/>
      <c r="J20" s="1111"/>
      <c r="K20" s="1111"/>
      <c r="L20" s="1111"/>
      <c r="M20" s="1111"/>
      <c r="N20" s="1111"/>
      <c r="O20" s="1110"/>
      <c r="P20" s="1110"/>
      <c r="Q20" s="1110"/>
      <c r="R20" s="1110"/>
      <c r="S20" s="1110"/>
      <c r="T20" s="1110"/>
      <c r="U20" s="1112"/>
      <c r="V20" s="1112"/>
      <c r="W20" s="1112"/>
      <c r="X20" s="1112"/>
      <c r="Y20" s="1112"/>
      <c r="Z20" s="1112"/>
      <c r="AA20" s="1112"/>
      <c r="AB20" s="1110"/>
      <c r="AC20" s="1111"/>
      <c r="AD20" s="1111"/>
      <c r="AE20" s="1111"/>
      <c r="AF20" s="1111"/>
      <c r="AG20" s="1111"/>
      <c r="AH20" s="1111"/>
      <c r="AI20" s="1111"/>
      <c r="AJ20" s="1111"/>
      <c r="AK20" s="1111"/>
      <c r="AL20" s="1111"/>
      <c r="AM20" s="1111"/>
      <c r="AN20" s="1111"/>
      <c r="AO20" s="1111"/>
      <c r="AP20" s="1111"/>
      <c r="AQ20" s="1111"/>
      <c r="AR20" s="1111"/>
      <c r="AS20" s="1111"/>
      <c r="AT20" s="1111"/>
      <c r="AU20" s="1111"/>
      <c r="AV20" s="1111"/>
      <c r="AW20" s="1111"/>
      <c r="AX20" s="1111"/>
      <c r="AY20" s="1111"/>
      <c r="AZ20" s="1111"/>
      <c r="BA20" s="1111"/>
      <c r="BB20" s="1111"/>
      <c r="BC20" s="1111"/>
      <c r="BD20" s="1111"/>
      <c r="BE20" s="1111"/>
      <c r="BF20" s="1111"/>
      <c r="BG20" s="1111"/>
      <c r="BH20" s="1111"/>
      <c r="BI20" s="1111"/>
      <c r="BJ20" s="1111"/>
      <c r="BK20" s="1111"/>
      <c r="BL20" s="1111"/>
      <c r="BM20" s="1111"/>
      <c r="BN20" s="1111"/>
      <c r="BO20" s="1111"/>
      <c r="BP20" s="1111"/>
      <c r="BQ20" s="1111"/>
      <c r="BR20" s="1111"/>
      <c r="BS20" s="1111"/>
      <c r="BT20" s="1111"/>
      <c r="BU20" s="1111"/>
      <c r="BV20" s="1111"/>
      <c r="BW20" s="1111"/>
      <c r="BX20" s="1111"/>
      <c r="BY20" s="1111"/>
      <c r="BZ20" s="1111"/>
      <c r="CA20" s="1111"/>
      <c r="CB20" s="1111"/>
      <c r="CC20" s="1111"/>
      <c r="CD20" s="1111"/>
      <c r="CE20" s="1111"/>
      <c r="CF20" s="1111"/>
      <c r="CG20" s="1111"/>
      <c r="CH20" s="1111"/>
      <c r="CI20" s="1111"/>
      <c r="CJ20" s="1111"/>
      <c r="CK20" s="1111"/>
      <c r="CL20" s="1113"/>
      <c r="CM20" s="1113"/>
      <c r="CN20" s="1113"/>
      <c r="CO20" s="1113"/>
      <c r="CP20" s="1113"/>
      <c r="CQ20" s="1113"/>
      <c r="CR20" s="1113"/>
      <c r="CS20" s="1113"/>
      <c r="CT20" s="1113"/>
      <c r="CU20" s="1113"/>
      <c r="CV20" s="1113"/>
      <c r="CW20" s="1113"/>
      <c r="CX20" s="1113"/>
      <c r="CY20" s="1113"/>
      <c r="CZ20" s="1113"/>
      <c r="DA20" s="1113"/>
      <c r="DB20" s="1113"/>
      <c r="DC20" s="1113"/>
      <c r="DD20" s="1113"/>
      <c r="DE20" s="1113"/>
      <c r="DF20" s="1113"/>
      <c r="DG20" s="1113"/>
      <c r="DH20" s="1113"/>
      <c r="DI20" s="1113"/>
      <c r="DJ20" s="1113"/>
      <c r="DK20" s="1113"/>
      <c r="DL20" s="1113"/>
      <c r="DM20" s="1113"/>
      <c r="DN20" s="1113"/>
      <c r="DO20" s="1113"/>
      <c r="DP20" s="1113"/>
      <c r="DQ20" s="1113"/>
      <c r="DR20" s="1113"/>
      <c r="DS20" s="1113"/>
      <c r="DT20" s="1113"/>
      <c r="DU20" s="1113"/>
      <c r="DV20" s="1113"/>
      <c r="DW20" s="1113"/>
      <c r="DX20" s="1113"/>
      <c r="DY20" s="1113"/>
      <c r="DZ20" s="1113"/>
      <c r="EA20" s="1113"/>
      <c r="EB20" s="1113"/>
      <c r="EC20" s="1113"/>
      <c r="ED20" s="1113"/>
      <c r="EE20" s="1113"/>
      <c r="EF20" s="1113"/>
      <c r="EG20" s="1113"/>
      <c r="EH20" s="1113"/>
      <c r="EI20" s="1113"/>
      <c r="EJ20" s="1113"/>
      <c r="EK20" s="1113"/>
      <c r="EL20" s="1113"/>
      <c r="EM20" s="1113"/>
      <c r="EN20" s="1113"/>
      <c r="EO20" s="1113"/>
      <c r="EP20" s="1113"/>
      <c r="EQ20" s="1113"/>
      <c r="ER20" s="1113"/>
      <c r="ES20" s="1113"/>
      <c r="ET20" s="1113"/>
      <c r="EU20" s="1113"/>
      <c r="EV20" s="1113"/>
      <c r="EW20" s="1113"/>
      <c r="EX20" s="1113"/>
      <c r="EY20" s="1113"/>
      <c r="EZ20" s="1113"/>
      <c r="FA20" s="1113"/>
      <c r="FB20" s="1113"/>
      <c r="FC20" s="1113"/>
      <c r="FD20" s="1113"/>
      <c r="FE20" s="1113"/>
      <c r="FF20" s="1113"/>
      <c r="FG20" s="1113"/>
      <c r="FH20" s="1113"/>
      <c r="FI20" s="1113"/>
      <c r="FJ20" s="1113"/>
      <c r="FK20" s="1113"/>
      <c r="FL20" s="1113"/>
      <c r="FM20" s="1113"/>
      <c r="FN20" s="1113"/>
      <c r="FO20" s="1113"/>
      <c r="FP20" s="1113"/>
      <c r="FQ20" s="1113"/>
      <c r="FR20" s="1113"/>
      <c r="FS20" s="1113"/>
      <c r="FT20" s="1113"/>
      <c r="FU20" s="1113"/>
      <c r="FV20" s="1113"/>
      <c r="FW20" s="1113"/>
      <c r="FX20" s="1114"/>
    </row>
    <row r="21" spans="1:184" s="843" customFormat="1" ht="12" customHeight="1">
      <c r="A21" s="857"/>
      <c r="B21" s="857"/>
      <c r="C21" s="857"/>
      <c r="D21" s="857"/>
      <c r="E21" s="857"/>
      <c r="F21" s="855"/>
      <c r="G21" s="855"/>
      <c r="H21" s="855"/>
      <c r="I21" s="855"/>
      <c r="J21" s="855"/>
      <c r="K21" s="855"/>
      <c r="L21" s="855"/>
      <c r="M21" s="855"/>
      <c r="N21" s="855"/>
      <c r="O21" s="855"/>
      <c r="P21" s="855"/>
      <c r="Q21" s="855"/>
      <c r="R21" s="855"/>
      <c r="S21" s="858"/>
      <c r="T21" s="858"/>
      <c r="U21" s="855"/>
      <c r="V21" s="855"/>
      <c r="W21" s="855"/>
      <c r="X21" s="855"/>
      <c r="Y21" s="855"/>
      <c r="Z21" s="855"/>
      <c r="AA21" s="855"/>
      <c r="AB21" s="855"/>
      <c r="AC21" s="855"/>
      <c r="AD21" s="855"/>
      <c r="AE21" s="855"/>
      <c r="AF21" s="855"/>
      <c r="AG21" s="855"/>
      <c r="AH21" s="855"/>
      <c r="AI21" s="855"/>
      <c r="AJ21" s="855"/>
      <c r="AK21" s="855"/>
      <c r="AL21" s="855"/>
      <c r="AM21" s="855"/>
      <c r="AN21" s="855"/>
      <c r="AO21" s="855"/>
      <c r="AP21" s="855"/>
      <c r="AQ21" s="855"/>
      <c r="AR21" s="855"/>
      <c r="AS21" s="855"/>
      <c r="AT21" s="855"/>
      <c r="AU21" s="855"/>
      <c r="AV21" s="855"/>
      <c r="AW21" s="855"/>
      <c r="AX21" s="855"/>
      <c r="AY21" s="855"/>
      <c r="AZ21" s="855"/>
      <c r="BA21" s="855"/>
      <c r="BB21" s="855"/>
      <c r="BC21" s="855"/>
      <c r="BD21" s="855"/>
      <c r="BE21" s="855"/>
      <c r="BF21" s="855"/>
      <c r="BG21" s="855"/>
      <c r="BH21" s="855"/>
      <c r="BI21" s="855"/>
      <c r="BJ21" s="855"/>
      <c r="BK21" s="855"/>
      <c r="BL21" s="855"/>
      <c r="BM21" s="855"/>
      <c r="BN21" s="855"/>
      <c r="BO21" s="855"/>
      <c r="BP21" s="855"/>
      <c r="BQ21" s="855"/>
      <c r="BR21" s="855"/>
      <c r="BS21" s="855"/>
      <c r="BT21" s="855"/>
      <c r="BU21" s="855"/>
      <c r="BV21" s="855"/>
      <c r="BW21" s="855"/>
      <c r="BX21" s="855"/>
      <c r="BY21" s="855"/>
      <c r="BZ21" s="855"/>
      <c r="CA21" s="855"/>
      <c r="CB21" s="855"/>
      <c r="CC21" s="855"/>
      <c r="CD21" s="855"/>
      <c r="CE21" s="855"/>
      <c r="CF21" s="855"/>
      <c r="CG21" s="855"/>
      <c r="CH21" s="855"/>
      <c r="CI21" s="855"/>
      <c r="CJ21" s="855"/>
      <c r="CK21" s="855"/>
      <c r="CL21" s="855"/>
      <c r="CM21" s="855"/>
      <c r="CN21" s="855"/>
      <c r="CO21" s="855"/>
      <c r="CP21" s="855"/>
      <c r="CQ21" s="855"/>
      <c r="CR21" s="855"/>
      <c r="CS21" s="855"/>
      <c r="CT21" s="855"/>
      <c r="CU21" s="855"/>
      <c r="CV21" s="855"/>
      <c r="CW21" s="855"/>
      <c r="CX21" s="855"/>
      <c r="CY21" s="855"/>
      <c r="CZ21" s="855"/>
      <c r="DA21" s="855"/>
      <c r="DB21" s="855"/>
      <c r="DC21" s="855"/>
      <c r="DD21" s="855"/>
      <c r="DE21" s="855"/>
      <c r="DF21" s="855"/>
      <c r="DG21" s="855"/>
      <c r="DH21" s="855"/>
      <c r="DI21" s="855"/>
      <c r="DJ21" s="855"/>
      <c r="DK21" s="855"/>
      <c r="DL21" s="855"/>
      <c r="DM21" s="855"/>
      <c r="DN21" s="855"/>
      <c r="DO21" s="855"/>
      <c r="DP21" s="855"/>
      <c r="DQ21" s="855"/>
      <c r="DR21" s="855"/>
      <c r="DS21" s="855"/>
      <c r="DT21" s="855"/>
      <c r="DU21" s="855"/>
      <c r="DV21" s="855"/>
      <c r="DW21" s="855"/>
      <c r="DX21" s="855"/>
      <c r="DY21" s="855"/>
      <c r="DZ21" s="855"/>
      <c r="EA21" s="855"/>
      <c r="EB21" s="855"/>
      <c r="EC21" s="855"/>
      <c r="ED21" s="855"/>
      <c r="EE21" s="855"/>
      <c r="EF21" s="855"/>
      <c r="EG21" s="855"/>
      <c r="EH21" s="855"/>
      <c r="EI21" s="855"/>
      <c r="EJ21" s="855"/>
      <c r="EK21" s="855"/>
      <c r="EL21" s="855"/>
      <c r="EM21" s="855"/>
      <c r="EN21" s="855"/>
      <c r="EO21" s="855"/>
      <c r="EP21" s="855"/>
      <c r="EQ21" s="855"/>
      <c r="ER21" s="855"/>
      <c r="ES21" s="855"/>
      <c r="ET21" s="855"/>
      <c r="EU21" s="855"/>
      <c r="EV21" s="855"/>
      <c r="EW21" s="855"/>
      <c r="EX21" s="855"/>
      <c r="EY21" s="855"/>
      <c r="EZ21" s="855"/>
      <c r="FA21" s="855"/>
      <c r="FB21" s="855"/>
      <c r="FC21" s="855"/>
      <c r="FD21" s="855"/>
      <c r="FE21" s="855"/>
      <c r="FF21" s="855"/>
      <c r="FG21" s="855"/>
      <c r="FH21" s="855"/>
      <c r="FI21" s="855"/>
      <c r="FJ21" s="855"/>
      <c r="FK21" s="855"/>
      <c r="FL21" s="855"/>
      <c r="FM21" s="855"/>
      <c r="FN21" s="855"/>
      <c r="FO21" s="855"/>
      <c r="FP21" s="855"/>
      <c r="FQ21" s="855"/>
      <c r="FR21" s="855"/>
      <c r="FS21" s="855"/>
      <c r="FT21" s="855"/>
      <c r="FU21" s="855"/>
      <c r="FV21" s="855"/>
      <c r="FW21" s="855"/>
      <c r="FX21" s="857"/>
      <c r="FY21" s="857"/>
      <c r="FZ21" s="857"/>
      <c r="GA21" s="857"/>
      <c r="GB21" s="857"/>
    </row>
    <row r="22" spans="1:184" s="843" customFormat="1" ht="12" customHeight="1">
      <c r="A22" s="857"/>
      <c r="B22" s="857"/>
      <c r="C22" s="857"/>
      <c r="D22" s="857"/>
      <c r="E22" s="857"/>
      <c r="FX22" s="857"/>
      <c r="FY22" s="857"/>
      <c r="FZ22" s="857"/>
      <c r="GA22" s="857"/>
      <c r="GB22" s="857"/>
    </row>
    <row r="23" spans="1:184" s="979" customFormat="1" ht="12" customHeight="1">
      <c r="A23" s="978"/>
      <c r="B23" s="978"/>
      <c r="C23" s="978"/>
      <c r="D23" s="978"/>
      <c r="E23" s="978"/>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c r="AU23" s="980"/>
      <c r="AV23" s="980"/>
      <c r="AW23" s="980"/>
      <c r="AX23" s="980"/>
      <c r="AY23" s="980"/>
      <c r="AZ23" s="980"/>
      <c r="BA23" s="980"/>
      <c r="BB23" s="980"/>
      <c r="BC23" s="980"/>
      <c r="BD23" s="980"/>
      <c r="BE23" s="980"/>
      <c r="BF23" s="980"/>
      <c r="BG23" s="980"/>
      <c r="BH23" s="980"/>
      <c r="BI23" s="980"/>
      <c r="BJ23" s="980"/>
      <c r="BK23" s="980"/>
      <c r="BL23" s="980"/>
      <c r="BM23" s="980"/>
      <c r="BN23" s="980"/>
      <c r="BO23" s="980"/>
      <c r="BP23" s="980"/>
      <c r="BQ23" s="980"/>
      <c r="BR23" s="980"/>
      <c r="BS23" s="980"/>
      <c r="BT23" s="981"/>
      <c r="BU23" s="981"/>
      <c r="BV23" s="981"/>
      <c r="BW23" s="981"/>
      <c r="BX23" s="981"/>
      <c r="BY23" s="981"/>
      <c r="BZ23" s="981"/>
      <c r="CA23" s="981"/>
      <c r="CB23" s="981"/>
      <c r="CC23" s="981"/>
      <c r="CD23" s="981"/>
      <c r="CE23" s="981"/>
      <c r="CF23" s="981"/>
      <c r="CG23" s="981"/>
      <c r="CH23" s="981"/>
      <c r="CI23" s="981"/>
      <c r="CJ23" s="981"/>
      <c r="CK23" s="981"/>
      <c r="CL23" s="981"/>
      <c r="CM23" s="981"/>
      <c r="CN23" s="981"/>
      <c r="CO23" s="981"/>
      <c r="CP23" s="981"/>
      <c r="CQ23" s="981"/>
      <c r="CR23" s="981"/>
      <c r="CS23" s="981"/>
      <c r="CT23" s="981"/>
      <c r="CU23" s="981"/>
      <c r="CV23" s="981"/>
      <c r="CW23" s="981"/>
      <c r="CX23" s="981"/>
      <c r="CY23" s="981"/>
      <c r="CZ23" s="981"/>
      <c r="DA23" s="981"/>
      <c r="DB23" s="981"/>
      <c r="DC23" s="981"/>
      <c r="DD23" s="981"/>
      <c r="DE23" s="981"/>
      <c r="DF23" s="981"/>
      <c r="DG23" s="981"/>
      <c r="DH23" s="981"/>
      <c r="DI23" s="981"/>
      <c r="DJ23" s="981"/>
      <c r="DK23" s="981"/>
      <c r="DL23" s="981"/>
      <c r="DM23" s="981"/>
      <c r="DN23" s="981"/>
      <c r="DO23" s="981"/>
      <c r="DP23" s="981"/>
      <c r="DQ23" s="981"/>
      <c r="DR23" s="981"/>
      <c r="DS23" s="981"/>
      <c r="DT23" s="981"/>
      <c r="DU23" s="981"/>
      <c r="DV23" s="981"/>
      <c r="DW23" s="981"/>
      <c r="DX23" s="981"/>
      <c r="FX23" s="978"/>
      <c r="FY23" s="978"/>
      <c r="FZ23" s="978"/>
      <c r="GA23" s="978"/>
      <c r="GB23" s="978"/>
    </row>
    <row r="24" spans="1:184" ht="12" customHeight="1">
      <c r="S24" s="854"/>
      <c r="T24" s="854"/>
      <c r="U24" s="854"/>
      <c r="V24" s="854"/>
      <c r="W24" s="854"/>
      <c r="X24" s="854"/>
      <c r="Y24" s="854"/>
      <c r="Z24" s="854"/>
      <c r="AA24" s="854"/>
      <c r="AB24" s="854"/>
      <c r="FX24" s="854"/>
      <c r="FY24" s="854"/>
      <c r="FZ24" s="854"/>
      <c r="GA24" s="854"/>
      <c r="GB24" s="854"/>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413"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407"/>
      <c r="Q3" s="273"/>
      <c r="R3" s="274"/>
      <c r="S3" s="1413"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413" t="e">
        <f>INDEX(PT_DIFFERENTIATION_NUM_CS,MATCH(C4,PT_DIFFERENTIATION_CS_ID,0))</f>
        <v>#N/A</v>
      </c>
      <c r="T4" s="225" t="s">
        <v>2098</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2099</v>
      </c>
      <c r="AM4" s="426"/>
      <c r="AN4" s="426" t="str">
        <f t="shared" si="0"/>
        <v>Наименование централизованной системы горячего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401"/>
      <c r="R5" s="277"/>
      <c r="S5" s="1413"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413"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413"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410"/>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401"/>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414"/>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98"/>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98"/>
      <c r="M19" s="1288"/>
      <c r="N19" s="1288"/>
      <c r="O19" s="1288"/>
      <c r="P19" s="1288"/>
      <c r="Q19" s="1297"/>
      <c r="R19" s="1297"/>
      <c r="S19" s="649"/>
      <c r="AL19" s="437"/>
      <c r="AM19" s="437"/>
      <c r="AN19" s="437"/>
      <c r="AO19" s="437"/>
      <c r="AP19" s="437"/>
    </row>
    <row r="20" spans="1:42" s="1292" customFormat="1" ht="12" hidden="1" customHeight="1">
      <c r="L20" s="1398"/>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408"/>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403" t="s">
        <v>2100</v>
      </c>
      <c r="W38" s="1822" t="s">
        <v>2101</v>
      </c>
      <c r="X38" s="1821"/>
      <c r="Y38" s="1822" t="s">
        <v>508</v>
      </c>
      <c r="Z38" s="1827"/>
      <c r="AA38" s="1821"/>
      <c r="AB38" s="2059"/>
      <c r="AC38" s="1403" t="s">
        <v>2100</v>
      </c>
      <c r="AD38" s="1822" t="s">
        <v>2101</v>
      </c>
      <c r="AE38" s="1821"/>
      <c r="AF38" s="1822" t="s">
        <v>508</v>
      </c>
      <c r="AG38" s="1827"/>
      <c r="AH38" s="1821"/>
      <c r="AI38" s="2059"/>
      <c r="AJ38" s="2062"/>
      <c r="AK38" s="1840"/>
    </row>
    <row r="39" spans="1:42" ht="86.2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403" t="s">
        <v>2102</v>
      </c>
      <c r="W39" s="1138" t="s">
        <v>2103</v>
      </c>
      <c r="X39" s="1138" t="s">
        <v>2104</v>
      </c>
      <c r="Y39" s="1409" t="s">
        <v>518</v>
      </c>
      <c r="Z39" s="1931" t="s">
        <v>519</v>
      </c>
      <c r="AA39" s="1945"/>
      <c r="AB39" s="2060"/>
      <c r="AC39" s="1403" t="s">
        <v>2102</v>
      </c>
      <c r="AD39" s="1138" t="s">
        <v>2103</v>
      </c>
      <c r="AE39" s="1138" t="s">
        <v>2104</v>
      </c>
      <c r="AF39" s="1409" t="s">
        <v>518</v>
      </c>
      <c r="AG39" s="1931" t="s">
        <v>519</v>
      </c>
      <c r="AH39" s="1945"/>
      <c r="AI39" s="2060"/>
      <c r="AJ39" s="2063"/>
      <c r="AK39" s="1840"/>
    </row>
    <row r="40" spans="1:42" s="1566" customFormat="1" ht="11.25"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402">
        <f ca="1">OFFSET(V40,0,-1)+1</f>
        <v>3</v>
      </c>
      <c r="W40" s="1402">
        <f ca="1">OFFSET(W40,0,-1)+1</f>
        <v>4</v>
      </c>
      <c r="X40" s="1402">
        <f ca="1">OFFSET(X40,0,-1)+1</f>
        <v>5</v>
      </c>
      <c r="Y40" s="1402">
        <f ca="1">OFFSET(Y40,0,-1)+1</f>
        <v>6</v>
      </c>
      <c r="Z40" s="2052">
        <f ca="1">OFFSET(Z40,0,-1)+1</f>
        <v>7</v>
      </c>
      <c r="AA40" s="2052"/>
      <c r="AB40" s="1402">
        <f ca="1">OFFSET(AB40,0,-2)+1</f>
        <v>8</v>
      </c>
      <c r="AC40" s="1402">
        <f ca="1">OFFSET(AC40,0,-1)+1</f>
        <v>9</v>
      </c>
      <c r="AD40" s="1402">
        <f ca="1">OFFSET(AD40,0,-1)+1</f>
        <v>10</v>
      </c>
      <c r="AE40" s="1402">
        <f ca="1">OFFSET(AE40,0,-1)+1</f>
        <v>11</v>
      </c>
      <c r="AF40" s="1402">
        <f ca="1">OFFSET(AF40,0,-1)+1</f>
        <v>12</v>
      </c>
      <c r="AG40" s="2052">
        <f ca="1">OFFSET(AG40,0,-1)+1</f>
        <v>13</v>
      </c>
      <c r="AH40" s="2052"/>
      <c r="AI40" s="1402">
        <f ca="1">OFFSET(AI40,0,-2)+1</f>
        <v>14</v>
      </c>
      <c r="AJ40" s="1164">
        <f ca="1">OFFSET(AJ40,0,-1)</f>
        <v>14</v>
      </c>
      <c r="AK40" s="1402">
        <f ca="1">OFFSET(AK40,0,-1)+1</f>
        <v>15</v>
      </c>
      <c r="AL40" s="437"/>
      <c r="AM40" s="437"/>
      <c r="AN40" s="437"/>
      <c r="AO40" s="437"/>
      <c r="AP40" s="437"/>
    </row>
    <row r="41" spans="1:42" ht="23.25" customHeight="1">
      <c r="A41" s="1289" t="s">
        <v>233</v>
      </c>
      <c r="B41" s="1289"/>
      <c r="C41" s="1289"/>
      <c r="D41" s="1289"/>
      <c r="E41" s="2042">
        <v>1</v>
      </c>
      <c r="F41" s="1289"/>
      <c r="G41" s="1289"/>
      <c r="H41" s="1289"/>
      <c r="I41" s="1289"/>
      <c r="J41" s="1289"/>
      <c r="K41" s="1289"/>
      <c r="L41" s="1290"/>
      <c r="M41" s="1291"/>
      <c r="N41" s="1291"/>
      <c r="O41" s="1291"/>
      <c r="P41" s="282"/>
      <c r="Q41" s="281"/>
      <c r="R41" s="276"/>
      <c r="S41" s="1413">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233</v>
      </c>
      <c r="B42" s="1289" t="s">
        <v>234</v>
      </c>
      <c r="C42" s="1289"/>
      <c r="D42" s="1289"/>
      <c r="E42" s="2043"/>
      <c r="F42" s="2042">
        <v>1</v>
      </c>
      <c r="G42" s="1289"/>
      <c r="H42" s="1289"/>
      <c r="I42" s="1289"/>
      <c r="J42" s="1289"/>
      <c r="K42" s="1289"/>
      <c r="L42" s="1290"/>
      <c r="M42" s="1291"/>
      <c r="N42" s="1291"/>
      <c r="O42" s="1291"/>
      <c r="P42" s="1407"/>
      <c r="Q42" s="273"/>
      <c r="R42" s="274"/>
      <c r="S42" s="1413"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233</v>
      </c>
      <c r="B43" s="1289" t="s">
        <v>234</v>
      </c>
      <c r="C43" s="1289" t="s">
        <v>235</v>
      </c>
      <c r="D43" s="1289"/>
      <c r="E43" s="2043"/>
      <c r="F43" s="2043"/>
      <c r="G43" s="2042">
        <v>1</v>
      </c>
      <c r="H43" s="1289"/>
      <c r="I43" s="1289"/>
      <c r="J43" s="1289"/>
      <c r="K43" s="1289"/>
      <c r="L43" s="1290"/>
      <c r="M43" s="1291"/>
      <c r="N43" s="1291"/>
      <c r="O43" s="1291"/>
      <c r="P43" s="275"/>
      <c r="Q43" s="273"/>
      <c r="R43" s="274"/>
      <c r="S43" s="1413" t="str">
        <f>INDEX(PT_DIFFERENTIATION_NUM_CS,MATCH(C43,PT_DIFFERENTIATION_CS_ID,0))</f>
        <v>..</v>
      </c>
      <c r="T43" s="225" t="s">
        <v>2098</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2099</v>
      </c>
      <c r="AM43" s="426"/>
      <c r="AN43" s="426" t="str">
        <f t="shared" si="1"/>
        <v>Наименование централизованной системы горячего водоснабжения</v>
      </c>
      <c r="AO43" s="426"/>
      <c r="AP43" s="426"/>
    </row>
    <row r="44" spans="1:42" ht="23.25" customHeight="1">
      <c r="A44" s="1289" t="s">
        <v>233</v>
      </c>
      <c r="B44" s="1289" t="s">
        <v>234</v>
      </c>
      <c r="C44" s="1289" t="s">
        <v>235</v>
      </c>
      <c r="D44" s="1289" t="s">
        <v>2105</v>
      </c>
      <c r="E44" s="2043"/>
      <c r="F44" s="2043"/>
      <c r="G44" s="2043"/>
      <c r="H44" s="2043"/>
      <c r="I44" s="2044" t="str">
        <f>S43&amp;".1"</f>
        <v>...1</v>
      </c>
      <c r="J44" s="1289"/>
      <c r="K44" s="1289"/>
      <c r="L44" s="1290"/>
      <c r="P44" s="1961">
        <v>1</v>
      </c>
      <c r="Q44" s="1401"/>
      <c r="R44" s="277"/>
      <c r="S44" s="1413"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233</v>
      </c>
      <c r="B45" s="1289" t="s">
        <v>234</v>
      </c>
      <c r="C45" s="1289" t="s">
        <v>235</v>
      </c>
      <c r="D45" s="1289" t="s">
        <v>2105</v>
      </c>
      <c r="E45" s="2043"/>
      <c r="F45" s="2043"/>
      <c r="G45" s="2043"/>
      <c r="H45" s="2043"/>
      <c r="I45" s="2045"/>
      <c r="J45" s="2044" t="str">
        <f>I44&amp;".1"</f>
        <v>...1.1</v>
      </c>
      <c r="K45" s="1289"/>
      <c r="L45" s="1290" t="s">
        <v>481</v>
      </c>
      <c r="P45" s="1961"/>
      <c r="Q45" s="1961">
        <v>1</v>
      </c>
      <c r="R45" s="278"/>
      <c r="S45" s="1413"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233</v>
      </c>
      <c r="B46" s="1289" t="s">
        <v>234</v>
      </c>
      <c r="C46" s="1289" t="s">
        <v>235</v>
      </c>
      <c r="D46" s="1289" t="s">
        <v>2105</v>
      </c>
      <c r="E46" s="2043"/>
      <c r="F46" s="2043"/>
      <c r="G46" s="2043"/>
      <c r="H46" s="2043"/>
      <c r="I46" s="2045"/>
      <c r="J46" s="2045"/>
      <c r="K46" s="2044" t="str">
        <f>J45&amp;".1"</f>
        <v>...1.1.1</v>
      </c>
      <c r="L46" s="1290"/>
      <c r="P46" s="1961"/>
      <c r="Q46" s="1961"/>
      <c r="R46" s="278">
        <v>1</v>
      </c>
      <c r="S46" s="1413" t="str">
        <f>$K46</f>
        <v>...1.1.1</v>
      </c>
      <c r="T46" s="1362"/>
      <c r="U46" s="214"/>
      <c r="V46" s="1286"/>
      <c r="W46" s="1286"/>
      <c r="X46" s="1287"/>
      <c r="Y46" s="2040"/>
      <c r="Z46" s="2039" t="s">
        <v>58</v>
      </c>
      <c r="AA46" s="2040"/>
      <c r="AB46" s="2039" t="s">
        <v>58</v>
      </c>
      <c r="AC46" s="669"/>
      <c r="AD46" s="669"/>
      <c r="AE46" s="1186"/>
      <c r="AF46" s="2046"/>
      <c r="AG46" s="1850" t="s">
        <v>58</v>
      </c>
      <c r="AH46" s="2048"/>
      <c r="AI46" s="1850" t="s">
        <v>56</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233</v>
      </c>
      <c r="B47" s="1289" t="s">
        <v>234</v>
      </c>
      <c r="C47" s="1289" t="s">
        <v>235</v>
      </c>
      <c r="D47" s="1289" t="s">
        <v>2105</v>
      </c>
      <c r="E47" s="2043"/>
      <c r="F47" s="2043"/>
      <c r="G47" s="2043"/>
      <c r="H47" s="2043"/>
      <c r="I47" s="2045"/>
      <c r="J47" s="2045"/>
      <c r="K47" s="2044"/>
      <c r="L47" s="1290"/>
      <c r="P47" s="1961"/>
      <c r="Q47" s="1961"/>
      <c r="R47" s="278"/>
      <c r="S47" s="1410"/>
      <c r="T47" s="214"/>
      <c r="U47" s="214"/>
      <c r="V47" s="1286"/>
      <c r="W47" s="1286"/>
      <c r="X47" s="250" t="str">
        <f>Y46&amp;"-"&amp;AA46</f>
        <v>-</v>
      </c>
      <c r="Y47" s="2039"/>
      <c r="Z47" s="2039"/>
      <c r="AA47" s="2039"/>
      <c r="AB47" s="2039"/>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233</v>
      </c>
      <c r="B48" s="1289" t="s">
        <v>234</v>
      </c>
      <c r="C48" s="1289" t="s">
        <v>235</v>
      </c>
      <c r="D48" s="1289" t="s">
        <v>2105</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233</v>
      </c>
      <c r="B49" s="1289" t="s">
        <v>234</v>
      </c>
      <c r="C49" s="1289" t="s">
        <v>235</v>
      </c>
      <c r="D49" s="1289" t="s">
        <v>2105</v>
      </c>
      <c r="E49" s="2043"/>
      <c r="F49" s="2043"/>
      <c r="G49" s="2043"/>
      <c r="H49" s="2043"/>
      <c r="I49" s="2044"/>
      <c r="J49" s="1289"/>
      <c r="K49" s="1289"/>
      <c r="L49" s="1290"/>
      <c r="P49" s="1961"/>
      <c r="Q49" s="1401"/>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233</v>
      </c>
      <c r="B50" s="1289" t="s">
        <v>234</v>
      </c>
      <c r="C50" s="1289" t="s">
        <v>235</v>
      </c>
      <c r="D50" s="1289" t="s">
        <v>2105</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233</v>
      </c>
      <c r="B51" s="1270" t="s">
        <v>234</v>
      </c>
      <c r="C51" s="1242"/>
      <c r="D51" s="1242"/>
      <c r="E51" s="2043"/>
      <c r="F51" s="2042"/>
      <c r="G51" s="1242"/>
      <c r="H51" s="1242"/>
      <c r="I51" s="1242"/>
      <c r="J51" s="1242"/>
      <c r="K51" s="1242"/>
      <c r="L51" s="1414"/>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233</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414"/>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2106</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2107</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heetViews>
  <sheetFormatPr defaultColWidth="9.09765625" defaultRowHeight="11.25" customHeight="1"/>
  <cols>
    <col min="1" max="2" width="3.69921875" style="1549" hidden="1" customWidth="1"/>
    <col min="3" max="3" width="3.69921875" style="1781" customWidth="1"/>
    <col min="4" max="4" width="6.09765625" style="1781" customWidth="1"/>
    <col min="5" max="5" width="43.09765625" style="1781" customWidth="1"/>
    <col min="6" max="6" width="15" style="1781" customWidth="1"/>
    <col min="7" max="7" width="43.09765625" style="1781" customWidth="1"/>
    <col min="8" max="8" width="3.69921875" style="1781" customWidth="1"/>
    <col min="9" max="9" width="5.3984375" style="1781" customWidth="1"/>
    <col min="10" max="10" width="47.796875" style="1781" customWidth="1"/>
    <col min="11" max="12" width="3.69921875" style="1781" customWidth="1"/>
    <col min="13" max="13" width="5.69921875" style="1781" customWidth="1"/>
    <col min="14" max="14" width="28.09765625" style="1781" customWidth="1"/>
    <col min="15" max="16" width="3.69921875" style="1781" customWidth="1"/>
    <col min="17" max="17" width="5.69921875" style="1781" customWidth="1"/>
    <col min="18" max="18" width="34.3984375" style="1781" customWidth="1"/>
    <col min="19" max="20" width="3.69921875" style="1781" hidden="1" customWidth="1"/>
    <col min="21" max="21" width="5.69921875" style="1781" hidden="1" customWidth="1"/>
    <col min="22" max="22" width="34.3984375" style="1781" hidden="1" customWidth="1"/>
    <col min="23" max="23" width="30.69921875" style="1781" customWidth="1"/>
    <col min="24" max="24" width="3.69921875" style="1781" customWidth="1"/>
    <col min="25" max="28" width="9.796875" style="1195" hidden="1" customWidth="1"/>
    <col min="29" max="29" width="27" style="1195" hidden="1" customWidth="1"/>
    <col min="30" max="30" width="10.59765625" style="1195" hidden="1" customWidth="1"/>
    <col min="31" max="31" width="10.69921875" style="1195" hidden="1" customWidth="1"/>
    <col min="32" max="32" width="10" style="1195" hidden="1" customWidth="1"/>
    <col min="33" max="33" width="12.796875" style="1195" hidden="1" customWidth="1"/>
    <col min="34" max="34" width="10.296875" style="1195" hidden="1" customWidth="1"/>
    <col min="35" max="35" width="15.796875" style="1195" hidden="1" customWidth="1"/>
    <col min="36" max="36" width="19.3984375" style="1195" hidden="1" customWidth="1"/>
    <col min="37" max="37" width="11" style="1195" hidden="1" customWidth="1"/>
    <col min="38" max="38" width="23.59765625" style="1195" hidden="1" customWidth="1"/>
    <col min="39" max="39" width="23.796875" style="1195" hidden="1" customWidth="1"/>
    <col min="40" max="40" width="25.296875" style="1195" hidden="1" customWidth="1"/>
    <col min="41" max="41" width="16.796875" style="1195" hidden="1" customWidth="1"/>
    <col min="42" max="42" width="29.59765625" style="1195" hidden="1" customWidth="1"/>
    <col min="43" max="43" width="29.796875" style="1195" hidden="1" customWidth="1"/>
    <col min="44" max="44" width="9.09765625" style="1781" hidden="1"/>
  </cols>
  <sheetData>
    <row r="1" spans="1:43" ht="11.25" hidden="1" customHeight="1">
      <c r="A1" s="74"/>
    </row>
    <row r="2" spans="1:43" ht="11.25" hidden="1" customHeight="1"/>
    <row r="3" spans="1:43" ht="11.25" hidden="1" customHeight="1"/>
    <row r="4" spans="1:43" ht="3" customHeight="1"/>
    <row r="5" spans="1:43" s="512" customFormat="1" ht="39" customHeight="1">
      <c r="A5" s="72"/>
      <c r="B5" s="72"/>
      <c r="D5" s="183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834"/>
      <c r="F5" s="1834"/>
      <c r="G5" s="1834"/>
      <c r="H5" s="1834"/>
      <c r="I5" s="1834"/>
      <c r="J5" s="1835"/>
      <c r="K5" s="180"/>
      <c r="L5" s="63"/>
      <c r="M5" s="63"/>
      <c r="N5" s="63"/>
      <c r="O5" s="63"/>
      <c r="P5" s="63"/>
      <c r="Q5" s="63"/>
      <c r="R5" s="63"/>
      <c r="S5" s="205"/>
      <c r="T5" s="205"/>
      <c r="U5" s="205"/>
      <c r="V5" s="205"/>
      <c r="W5" s="63"/>
      <c r="Y5" s="1190"/>
      <c r="Z5" s="1190"/>
      <c r="AA5" s="1190"/>
      <c r="AB5" s="1190"/>
      <c r="AC5" s="1190"/>
      <c r="AD5" s="1190"/>
      <c r="AE5" s="1190"/>
      <c r="AF5" s="1190"/>
      <c r="AG5" s="1190"/>
      <c r="AH5" s="1190"/>
      <c r="AI5" s="1190"/>
      <c r="AJ5" s="1190"/>
      <c r="AK5" s="1190"/>
      <c r="AL5" s="1190"/>
      <c r="AM5" s="1190"/>
      <c r="AN5" s="1190"/>
      <c r="AO5" s="1190"/>
      <c r="AP5" s="1190"/>
      <c r="AQ5" s="1190"/>
    </row>
    <row r="6" spans="1:43" s="512" customFormat="1" ht="15" customHeight="1">
      <c r="A6" s="509"/>
      <c r="B6" s="509"/>
      <c r="C6" s="509"/>
      <c r="D6" s="1891" t="str">
        <f>IF(org=0,"Не определено",org)</f>
        <v>НАО "СВЕЗА Мантурово"</v>
      </c>
      <c r="E6" s="1891"/>
      <c r="F6" s="1891"/>
      <c r="G6" s="1891"/>
      <c r="H6" s="1891"/>
      <c r="I6" s="1891"/>
      <c r="J6" s="1891"/>
      <c r="K6" s="510"/>
      <c r="L6" s="510"/>
      <c r="M6" s="510"/>
      <c r="N6" s="510"/>
      <c r="O6" s="787"/>
      <c r="P6" s="787"/>
      <c r="Q6" s="787"/>
      <c r="R6" s="787"/>
      <c r="S6" s="787"/>
      <c r="T6" s="787"/>
      <c r="U6" s="787"/>
      <c r="V6" s="787"/>
      <c r="W6" s="787"/>
      <c r="X6" s="510"/>
      <c r="Y6" s="1191"/>
      <c r="Z6" s="1191"/>
      <c r="AA6" s="1191"/>
      <c r="AB6" s="1191"/>
      <c r="AC6" s="1191"/>
      <c r="AD6" s="1191"/>
      <c r="AE6" s="1191"/>
      <c r="AF6" s="1191"/>
      <c r="AG6" s="1191"/>
      <c r="AH6" s="1191"/>
      <c r="AI6" s="1191"/>
      <c r="AJ6" s="1191"/>
      <c r="AK6" s="1191"/>
      <c r="AL6" s="1191"/>
      <c r="AM6" s="1191"/>
      <c r="AN6" s="1191"/>
      <c r="AO6" s="1191"/>
      <c r="AP6" s="1191"/>
      <c r="AQ6" s="1191"/>
    </row>
    <row r="7" spans="1:43" s="213" customFormat="1" ht="11.25" customHeight="1">
      <c r="A7" s="128"/>
      <c r="B7" s="128"/>
      <c r="D7" s="1888"/>
      <c r="E7" s="1889"/>
      <c r="F7" s="1889"/>
      <c r="G7" s="1889"/>
      <c r="H7" s="1889"/>
      <c r="I7" s="1889"/>
      <c r="J7" s="1890"/>
      <c r="Y7" s="1192"/>
      <c r="Z7" s="1192"/>
      <c r="AA7" s="1192"/>
      <c r="AB7" s="1192"/>
      <c r="AC7" s="1192"/>
      <c r="AD7" s="1192"/>
      <c r="AE7" s="1192"/>
      <c r="AF7" s="1192"/>
      <c r="AG7" s="1192"/>
      <c r="AH7" s="1192"/>
      <c r="AI7" s="1192"/>
      <c r="AJ7" s="1192"/>
      <c r="AK7" s="1192"/>
      <c r="AL7" s="1192"/>
      <c r="AM7" s="1192"/>
      <c r="AN7" s="1192"/>
      <c r="AO7" s="1192"/>
      <c r="AP7" s="1192"/>
      <c r="AQ7" s="1192"/>
    </row>
    <row r="8" spans="1:43" s="512" customFormat="1" ht="0.75" customHeight="1">
      <c r="A8" s="72"/>
      <c r="B8" s="72"/>
      <c r="D8" s="129"/>
      <c r="E8" s="129"/>
      <c r="F8" s="129"/>
      <c r="G8" s="129"/>
      <c r="H8" s="129"/>
      <c r="I8" s="129"/>
      <c r="J8" s="129"/>
      <c r="K8" s="129"/>
      <c r="L8" s="129"/>
      <c r="M8" s="129"/>
      <c r="N8" s="129"/>
      <c r="O8" s="129"/>
      <c r="P8" s="129"/>
      <c r="Q8" s="129"/>
      <c r="R8" s="129"/>
      <c r="S8" s="129"/>
      <c r="T8" s="129"/>
      <c r="U8" s="129"/>
      <c r="V8" s="129"/>
      <c r="W8" s="129"/>
      <c r="X8" s="54"/>
      <c r="Y8" s="1190"/>
      <c r="Z8" s="1190"/>
      <c r="AA8" s="1190"/>
      <c r="AB8" s="1190"/>
      <c r="AC8" s="1190"/>
      <c r="AD8" s="1190"/>
      <c r="AE8" s="1190"/>
      <c r="AF8" s="1190"/>
      <c r="AG8" s="1190"/>
      <c r="AH8" s="1190"/>
      <c r="AI8" s="1190"/>
      <c r="AJ8" s="1190"/>
      <c r="AK8" s="1190"/>
      <c r="AL8" s="1190"/>
      <c r="AM8" s="1190"/>
      <c r="AN8" s="1190"/>
      <c r="AO8" s="1190"/>
      <c r="AP8" s="1190"/>
      <c r="AQ8" s="1190"/>
    </row>
    <row r="9" spans="1:43" ht="27" customHeight="1">
      <c r="D9" s="1840" t="s">
        <v>87</v>
      </c>
      <c r="E9" s="1822" t="s">
        <v>118</v>
      </c>
      <c r="F9" s="1821"/>
      <c r="G9" s="1840" t="s">
        <v>101</v>
      </c>
      <c r="H9" s="1840" t="s">
        <v>87</v>
      </c>
      <c r="I9" s="1840"/>
      <c r="J9" s="1840" t="s">
        <v>119</v>
      </c>
      <c r="K9" s="1892" t="s">
        <v>120</v>
      </c>
      <c r="L9" s="1892"/>
      <c r="M9" s="1892"/>
      <c r="N9" s="1892"/>
      <c r="O9" s="1892" t="s">
        <v>121</v>
      </c>
      <c r="P9" s="1892"/>
      <c r="Q9" s="1892"/>
      <c r="R9" s="1892"/>
      <c r="S9" s="1892" t="s">
        <v>122</v>
      </c>
      <c r="T9" s="1892"/>
      <c r="U9" s="1892"/>
      <c r="V9" s="1892"/>
      <c r="W9" s="1840" t="s">
        <v>123</v>
      </c>
    </row>
    <row r="10" spans="1:43" ht="30" customHeight="1">
      <c r="D10" s="1840"/>
      <c r="E10" s="1213" t="s">
        <v>88</v>
      </c>
      <c r="F10" s="1213" t="s">
        <v>124</v>
      </c>
      <c r="G10" s="1840"/>
      <c r="H10" s="1840"/>
      <c r="I10" s="1840"/>
      <c r="J10" s="1840"/>
      <c r="K10" s="37" t="s">
        <v>104</v>
      </c>
      <c r="L10" s="1840" t="s">
        <v>87</v>
      </c>
      <c r="M10" s="1840"/>
      <c r="N10" s="37" t="s">
        <v>125</v>
      </c>
      <c r="O10" s="37" t="s">
        <v>104</v>
      </c>
      <c r="P10" s="1840" t="s">
        <v>87</v>
      </c>
      <c r="Q10" s="1840"/>
      <c r="R10" s="37" t="s">
        <v>125</v>
      </c>
      <c r="S10" s="198" t="s">
        <v>104</v>
      </c>
      <c r="T10" s="1840" t="s">
        <v>87</v>
      </c>
      <c r="U10" s="1840"/>
      <c r="V10" s="198" t="s">
        <v>88</v>
      </c>
      <c r="W10" s="1840"/>
      <c r="Z10" s="1189" t="s">
        <v>126</v>
      </c>
      <c r="AA10" s="1189" t="s">
        <v>127</v>
      </c>
      <c r="AB10" s="1189" t="s">
        <v>128</v>
      </c>
      <c r="AC10" s="1189" t="s">
        <v>129</v>
      </c>
      <c r="AD10" s="1189" t="s">
        <v>130</v>
      </c>
      <c r="AE10" s="1189" t="s">
        <v>131</v>
      </c>
      <c r="AF10" s="1189" t="s">
        <v>132</v>
      </c>
      <c r="AG10" s="1189" t="s">
        <v>133</v>
      </c>
      <c r="AH10" s="1189" t="s">
        <v>134</v>
      </c>
      <c r="AI10" s="1189" t="s">
        <v>135</v>
      </c>
      <c r="AJ10" s="1189" t="s">
        <v>136</v>
      </c>
      <c r="AK10" s="1189" t="s">
        <v>137</v>
      </c>
      <c r="AL10" s="1189" t="s">
        <v>138</v>
      </c>
      <c r="AM10" s="1189" t="s">
        <v>139</v>
      </c>
      <c r="AN10" s="1189" t="s">
        <v>140</v>
      </c>
      <c r="AO10" s="1189" t="s">
        <v>141</v>
      </c>
      <c r="AP10" s="1189" t="s">
        <v>142</v>
      </c>
      <c r="AQ10" s="1189" t="s">
        <v>143</v>
      </c>
    </row>
    <row r="11" spans="1:43" s="1549" customFormat="1" ht="12" hidden="1" customHeight="1">
      <c r="D11" s="1169" t="s">
        <v>105</v>
      </c>
      <c r="E11" s="1169" t="s">
        <v>106</v>
      </c>
      <c r="F11" s="1169"/>
      <c r="G11" s="1169" t="s">
        <v>89</v>
      </c>
      <c r="H11" s="1887" t="s">
        <v>107</v>
      </c>
      <c r="I11" s="1887"/>
      <c r="J11" s="1169" t="s">
        <v>91</v>
      </c>
      <c r="K11" s="1169" t="s">
        <v>92</v>
      </c>
      <c r="L11" s="1887" t="s">
        <v>108</v>
      </c>
      <c r="M11" s="1887"/>
      <c r="N11" s="1169" t="s">
        <v>144</v>
      </c>
      <c r="O11" s="1169" t="s">
        <v>145</v>
      </c>
      <c r="P11" s="1887" t="s">
        <v>146</v>
      </c>
      <c r="Q11" s="1887"/>
      <c r="R11" s="1169" t="s">
        <v>147</v>
      </c>
      <c r="S11" s="1169" t="s">
        <v>146</v>
      </c>
      <c r="T11" s="1887" t="s">
        <v>147</v>
      </c>
      <c r="U11" s="1887"/>
      <c r="V11" s="1169" t="s">
        <v>148</v>
      </c>
      <c r="W11" s="1169" t="s">
        <v>149</v>
      </c>
      <c r="Y11" s="1189"/>
      <c r="Z11" s="1189"/>
      <c r="AA11" s="1189"/>
      <c r="AB11" s="1189"/>
      <c r="AC11" s="1189"/>
      <c r="AD11" s="1189"/>
      <c r="AE11" s="1189"/>
      <c r="AF11" s="1189"/>
      <c r="AG11" s="1189"/>
      <c r="AH11" s="1189"/>
      <c r="AI11" s="1189"/>
      <c r="AJ11" s="1189"/>
      <c r="AK11" s="1189"/>
      <c r="AL11" s="1189"/>
      <c r="AM11" s="1189"/>
      <c r="AN11" s="1189"/>
      <c r="AO11" s="1189"/>
      <c r="AP11" s="1189"/>
      <c r="AQ11" s="1189"/>
    </row>
    <row r="12" spans="1:43" ht="14.25" hidden="1" customHeight="1">
      <c r="C12" s="126"/>
      <c r="D12" s="1212">
        <v>0</v>
      </c>
      <c r="E12" s="165"/>
      <c r="F12" s="165"/>
      <c r="G12" s="165"/>
      <c r="H12" s="166"/>
      <c r="I12" s="166"/>
      <c r="J12" s="76"/>
      <c r="K12" s="38"/>
      <c r="L12" s="76"/>
      <c r="M12" s="76"/>
      <c r="N12" s="167"/>
      <c r="O12" s="38"/>
      <c r="P12" s="76"/>
      <c r="Q12" s="76"/>
      <c r="R12" s="168"/>
      <c r="S12" s="199"/>
      <c r="T12" s="207"/>
      <c r="U12" s="207"/>
      <c r="V12" s="210"/>
      <c r="W12" s="38"/>
      <c r="X12" s="62"/>
    </row>
    <row r="13" spans="1:43" s="1781" customFormat="1" ht="17.25" hidden="1" customHeight="1">
      <c r="A13" s="240"/>
      <c r="C13" s="126"/>
      <c r="D13" s="1860">
        <v>1</v>
      </c>
      <c r="E13" s="1862" t="s">
        <v>150</v>
      </c>
      <c r="F13" s="1864" t="s">
        <v>56</v>
      </c>
      <c r="G13" s="1862"/>
      <c r="H13" s="1867"/>
      <c r="I13" s="1869"/>
      <c r="J13" s="1871"/>
      <c r="K13" s="1858"/>
      <c r="L13" s="1858"/>
      <c r="M13" s="1858"/>
      <c r="N13" s="1874"/>
      <c r="O13" s="1858"/>
      <c r="P13" s="1858"/>
      <c r="Q13" s="1858"/>
      <c r="R13" s="1877"/>
      <c r="S13" s="1858"/>
      <c r="T13" s="1345"/>
      <c r="U13" s="1345"/>
      <c r="V13" s="1344"/>
      <c r="W13" s="1225"/>
      <c r="Y13" s="1196"/>
      <c r="Z13" s="1196"/>
      <c r="AA13" s="1196"/>
      <c r="AB13" s="1196"/>
      <c r="AC13" s="1196" t="s">
        <v>151</v>
      </c>
      <c r="AD13" s="1196" t="s">
        <v>152</v>
      </c>
      <c r="AE13" s="1196" t="s">
        <v>153</v>
      </c>
      <c r="AF13" s="1196" t="s">
        <v>154</v>
      </c>
      <c r="AG13" s="1196" t="s">
        <v>155</v>
      </c>
      <c r="AH13" s="11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6" t="str">
        <f>IF($G$13=0,"",$G$13)</f>
        <v/>
      </c>
      <c r="AJ13" s="1196" t="str">
        <f>IF($J$13=0,"",$J$13)</f>
        <v/>
      </c>
      <c r="AK13" s="1196" t="str">
        <f>IF($K$13="нет","без дифференциации",IF($N$13=0,"",$N$13))</f>
        <v/>
      </c>
      <c r="AL13" s="1196" t="str">
        <f>IF($O$13="нет","без дифференциации",IF($R$13=0,"",$R$13))</f>
        <v/>
      </c>
      <c r="AM13" s="1196" t="str">
        <f>IF($S$13="нет","без дифференциации",IF($V$13=0,"",$V$13))</f>
        <v/>
      </c>
      <c r="AN13" s="1196">
        <f>$I$13</f>
        <v>0</v>
      </c>
      <c r="AO13" s="1196" t="str">
        <f>$I$13&amp;"."&amp;$M$13</f>
        <v>.</v>
      </c>
      <c r="AP13" s="1196" t="str">
        <f>$I$13&amp;"."&amp;$M$13&amp;"."&amp;$Q$13</f>
        <v>..</v>
      </c>
      <c r="AQ13" s="1196" t="str">
        <f>$I$13&amp;"."&amp;$M$13&amp;"."&amp;$Q$13&amp;"."&amp;$U$13</f>
        <v>...</v>
      </c>
    </row>
    <row r="14" spans="1:43" s="1781" customFormat="1" ht="17.25" hidden="1" customHeight="1">
      <c r="A14" s="240"/>
      <c r="C14" s="239"/>
      <c r="D14" s="1860"/>
      <c r="E14" s="1862"/>
      <c r="F14" s="1865"/>
      <c r="G14" s="1862"/>
      <c r="H14" s="1868"/>
      <c r="I14" s="1870"/>
      <c r="J14" s="1872"/>
      <c r="K14" s="1859"/>
      <c r="L14" s="1859"/>
      <c r="M14" s="1859"/>
      <c r="N14" s="1875"/>
      <c r="O14" s="1859"/>
      <c r="P14" s="1859"/>
      <c r="Q14" s="1859"/>
      <c r="R14" s="1876"/>
      <c r="S14" s="1859"/>
      <c r="T14" s="1226"/>
      <c r="U14" s="1226"/>
      <c r="V14" s="1226"/>
      <c r="W14" s="1227"/>
      <c r="Y14" s="1189"/>
      <c r="Z14" s="1189"/>
      <c r="AA14" s="1189"/>
      <c r="AB14" s="1189"/>
      <c r="AC14" s="1189"/>
      <c r="AD14" s="1189"/>
      <c r="AE14" s="1189"/>
      <c r="AF14" s="1189"/>
      <c r="AG14" s="1189"/>
      <c r="AH14" s="1189"/>
      <c r="AI14" s="1189"/>
      <c r="AJ14" s="1189"/>
      <c r="AK14" s="1189"/>
      <c r="AL14" s="1189"/>
      <c r="AM14" s="1189"/>
      <c r="AN14" s="1189"/>
      <c r="AO14" s="1189"/>
      <c r="AP14" s="1189"/>
      <c r="AQ14" s="1189"/>
    </row>
    <row r="15" spans="1:43" s="1781" customFormat="1" ht="17.25" hidden="1" customHeight="1">
      <c r="A15" s="240"/>
      <c r="C15" s="126"/>
      <c r="D15" s="1860"/>
      <c r="E15" s="1862"/>
      <c r="F15" s="1865"/>
      <c r="G15" s="1862"/>
      <c r="H15" s="1868"/>
      <c r="I15" s="1870"/>
      <c r="J15" s="1873"/>
      <c r="K15" s="1859"/>
      <c r="L15" s="1859"/>
      <c r="M15" s="1859"/>
      <c r="N15" s="1876"/>
      <c r="O15" s="1859"/>
      <c r="P15" s="1343"/>
      <c r="Q15" s="1226"/>
      <c r="R15" s="1226"/>
      <c r="S15" s="251"/>
      <c r="T15" s="251"/>
      <c r="U15" s="251"/>
      <c r="V15" s="251"/>
      <c r="W15" s="1227"/>
      <c r="Y15" s="1196"/>
      <c r="Z15" s="1196"/>
      <c r="AA15" s="1196"/>
      <c r="AB15" s="1196"/>
      <c r="AC15" s="1196"/>
      <c r="AD15" s="1196"/>
      <c r="AE15" s="1196"/>
      <c r="AF15" s="1196"/>
      <c r="AG15" s="1196"/>
      <c r="AH15" s="1196"/>
      <c r="AI15" s="1196"/>
      <c r="AJ15" s="1196"/>
      <c r="AK15" s="1196"/>
      <c r="AL15" s="1196"/>
      <c r="AM15" s="1196"/>
      <c r="AN15" s="1196"/>
      <c r="AO15" s="1196"/>
      <c r="AP15" s="1196"/>
      <c r="AQ15" s="1196"/>
    </row>
    <row r="16" spans="1:43" s="1781" customFormat="1" ht="17.25" hidden="1" customHeight="1">
      <c r="A16" s="240"/>
      <c r="C16" s="239"/>
      <c r="D16" s="1860"/>
      <c r="E16" s="1862"/>
      <c r="F16" s="1865"/>
      <c r="G16" s="1862"/>
      <c r="H16" s="1868"/>
      <c r="I16" s="1870"/>
      <c r="J16" s="1873"/>
      <c r="K16" s="1859"/>
      <c r="L16" s="1226"/>
      <c r="M16" s="1226"/>
      <c r="N16" s="1226"/>
      <c r="O16" s="1226"/>
      <c r="P16" s="1226"/>
      <c r="Q16" s="1226"/>
      <c r="R16" s="1226"/>
      <c r="S16" s="251"/>
      <c r="T16" s="251"/>
      <c r="U16" s="251"/>
      <c r="V16" s="251"/>
      <c r="W16" s="1227"/>
      <c r="Y16" s="1189"/>
      <c r="Z16" s="1189"/>
      <c r="AA16" s="1189"/>
      <c r="AB16" s="1189"/>
      <c r="AC16" s="1189"/>
      <c r="AD16" s="1189"/>
      <c r="AE16" s="1189"/>
      <c r="AF16" s="1189"/>
      <c r="AG16" s="1189"/>
      <c r="AH16" s="1189"/>
      <c r="AI16" s="1189"/>
      <c r="AJ16" s="1189"/>
      <c r="AK16" s="1189"/>
      <c r="AL16" s="1189"/>
      <c r="AM16" s="1189"/>
      <c r="AN16" s="1189"/>
      <c r="AO16" s="1189"/>
      <c r="AP16" s="1189"/>
      <c r="AQ16" s="1189"/>
    </row>
    <row r="17" spans="1:43" s="1781" customFormat="1" ht="17.25" hidden="1" customHeight="1">
      <c r="A17" s="240"/>
      <c r="C17" s="239"/>
      <c r="D17" s="1861"/>
      <c r="E17" s="1863"/>
      <c r="F17" s="1866"/>
      <c r="G17" s="1863"/>
      <c r="H17" s="1228"/>
      <c r="I17" s="1229"/>
      <c r="J17" s="1229"/>
      <c r="K17" s="1229"/>
      <c r="L17" s="1229"/>
      <c r="M17" s="1229"/>
      <c r="N17" s="1229"/>
      <c r="O17" s="1229"/>
      <c r="P17" s="1229"/>
      <c r="Q17" s="1229"/>
      <c r="R17" s="1229"/>
      <c r="S17" s="1230"/>
      <c r="T17" s="1230"/>
      <c r="U17" s="1230"/>
      <c r="V17" s="1230"/>
      <c r="W17" s="1231"/>
      <c r="Y17" s="1189"/>
      <c r="Z17" s="1189"/>
      <c r="AA17" s="1189"/>
      <c r="AB17" s="1189"/>
      <c r="AC17" s="1189"/>
      <c r="AD17" s="1189"/>
      <c r="AE17" s="1189"/>
      <c r="AF17" s="1189"/>
      <c r="AG17" s="1189"/>
      <c r="AH17" s="1189"/>
      <c r="AI17" s="1189"/>
      <c r="AJ17" s="1189"/>
      <c r="AK17" s="1189"/>
      <c r="AL17" s="1189"/>
      <c r="AM17" s="1189"/>
      <c r="AN17" s="1189"/>
      <c r="AO17" s="1189"/>
      <c r="AP17" s="1189"/>
      <c r="AQ17" s="1189"/>
    </row>
    <row r="18" spans="1:43" s="1781" customFormat="1" ht="17.25" hidden="1" customHeight="1">
      <c r="A18" s="240"/>
      <c r="C18" s="126"/>
      <c r="D18" s="1860">
        <v>2</v>
      </c>
      <c r="E18" s="1862" t="s">
        <v>156</v>
      </c>
      <c r="F18" s="1864" t="s">
        <v>56</v>
      </c>
      <c r="G18" s="1862"/>
      <c r="H18" s="1867"/>
      <c r="I18" s="1869"/>
      <c r="J18" s="1871"/>
      <c r="K18" s="1858"/>
      <c r="L18" s="1858"/>
      <c r="M18" s="1858"/>
      <c r="N18" s="1874"/>
      <c r="O18" s="1858"/>
      <c r="P18" s="1858"/>
      <c r="Q18" s="1858"/>
      <c r="R18" s="1877"/>
      <c r="S18" s="1858"/>
      <c r="T18" s="1345"/>
      <c r="U18" s="1345"/>
      <c r="V18" s="1344"/>
      <c r="W18" s="1225"/>
      <c r="X18" s="1196"/>
      <c r="Y18" s="1196"/>
      <c r="Z18" s="1196"/>
      <c r="AA18" s="1196"/>
      <c r="AB18" s="1196"/>
      <c r="AC18" s="1196" t="s">
        <v>157</v>
      </c>
      <c r="AD18" s="1196" t="s">
        <v>158</v>
      </c>
      <c r="AE18" s="1196" t="s">
        <v>159</v>
      </c>
      <c r="AF18" s="1196" t="s">
        <v>160</v>
      </c>
      <c r="AG18" s="1196" t="s">
        <v>161</v>
      </c>
      <c r="AH18" s="11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6" t="str">
        <f>IF($G$18=0,"",$G$18)</f>
        <v/>
      </c>
      <c r="AJ18" s="1196" t="str">
        <f>IF($J$18=0,"",$J$18)</f>
        <v/>
      </c>
      <c r="AK18" s="1196" t="str">
        <f>IF($K$18="нет","без дифференциации",IF($N$18=0,"",$N$18))</f>
        <v/>
      </c>
      <c r="AL18" s="1196" t="str">
        <f>IF($O$18="нет","без дифференциации",IF($R$18=0,"",$R$18))</f>
        <v/>
      </c>
      <c r="AM18" s="1196" t="str">
        <f>IF($S$18="нет","без дифференциации",IF($V$18=0,"",$V$18))</f>
        <v/>
      </c>
      <c r="AN18" s="1699">
        <f>$I$18</f>
        <v>0</v>
      </c>
      <c r="AO18" s="1196" t="str">
        <f>$I$18&amp;"."&amp;$M$18</f>
        <v>.</v>
      </c>
      <c r="AP18" s="1189" t="str">
        <f>$I$18&amp;"."&amp;$M$18&amp;"."&amp;$Q$18</f>
        <v>..</v>
      </c>
      <c r="AQ18" s="1189" t="str">
        <f>$I$18&amp;"."&amp;$M$18&amp;"."&amp;$Q$18&amp;"."&amp;$U$18</f>
        <v>...</v>
      </c>
    </row>
    <row r="19" spans="1:43" s="1781" customFormat="1" ht="17.25" hidden="1" customHeight="1">
      <c r="A19" s="240"/>
      <c r="C19" s="239"/>
      <c r="D19" s="1860"/>
      <c r="E19" s="1862"/>
      <c r="F19" s="1865"/>
      <c r="G19" s="1862"/>
      <c r="H19" s="1868"/>
      <c r="I19" s="1870"/>
      <c r="J19" s="1872"/>
      <c r="K19" s="1859"/>
      <c r="L19" s="1859"/>
      <c r="M19" s="1859"/>
      <c r="N19" s="1875"/>
      <c r="O19" s="1859"/>
      <c r="P19" s="1859"/>
      <c r="Q19" s="1859"/>
      <c r="R19" s="1876"/>
      <c r="S19" s="1859"/>
      <c r="T19" s="1226"/>
      <c r="U19" s="1226"/>
      <c r="V19" s="1226"/>
      <c r="W19" s="1227"/>
      <c r="X19" s="1189"/>
      <c r="Y19" s="1189"/>
      <c r="Z19" s="1189"/>
      <c r="AA19" s="1189"/>
      <c r="AB19" s="1189"/>
      <c r="AC19" s="1189"/>
      <c r="AD19" s="1189"/>
      <c r="AE19" s="1189"/>
      <c r="AF19" s="1189"/>
      <c r="AG19" s="1189"/>
      <c r="AH19" s="1189"/>
      <c r="AI19" s="1189"/>
      <c r="AJ19" s="1189"/>
      <c r="AK19" s="1189"/>
      <c r="AL19" s="1189"/>
      <c r="AM19" s="1189"/>
      <c r="AN19" s="1189"/>
      <c r="AO19" s="1189"/>
      <c r="AP19" s="1189"/>
      <c r="AQ19" s="1189"/>
    </row>
    <row r="20" spans="1:43" s="1781" customFormat="1" ht="17.25" hidden="1" customHeight="1">
      <c r="A20" s="240"/>
      <c r="C20" s="239"/>
      <c r="D20" s="1861"/>
      <c r="E20" s="1863"/>
      <c r="F20" s="1865"/>
      <c r="G20" s="1863"/>
      <c r="H20" s="1868"/>
      <c r="I20" s="1870"/>
      <c r="J20" s="1873"/>
      <c r="K20" s="1859"/>
      <c r="L20" s="1859"/>
      <c r="M20" s="1859"/>
      <c r="N20" s="1876"/>
      <c r="O20" s="1859"/>
      <c r="P20" s="1343"/>
      <c r="Q20" s="1226"/>
      <c r="R20" s="1226"/>
      <c r="S20" s="251"/>
      <c r="T20" s="251"/>
      <c r="U20" s="251"/>
      <c r="V20" s="251"/>
      <c r="W20" s="1227"/>
      <c r="X20" s="1189"/>
      <c r="Y20" s="1189"/>
      <c r="Z20" s="1189"/>
      <c r="AA20" s="1189"/>
      <c r="AB20" s="1189"/>
      <c r="AC20" s="1189"/>
      <c r="AD20" s="1189"/>
      <c r="AE20" s="1189"/>
      <c r="AF20" s="1189"/>
      <c r="AG20" s="1189"/>
      <c r="AH20" s="1189"/>
      <c r="AI20" s="1189"/>
      <c r="AJ20" s="1189"/>
      <c r="AK20" s="1189"/>
      <c r="AL20" s="1189"/>
      <c r="AM20" s="1189"/>
      <c r="AN20" s="1189"/>
      <c r="AO20" s="1189"/>
      <c r="AP20" s="1189"/>
      <c r="AQ20" s="1189"/>
    </row>
    <row r="21" spans="1:43" s="1781" customFormat="1" ht="17.25" hidden="1" customHeight="1">
      <c r="A21" s="240"/>
      <c r="C21" s="239"/>
      <c r="D21" s="1861"/>
      <c r="E21" s="1863"/>
      <c r="F21" s="1865"/>
      <c r="G21" s="1863"/>
      <c r="H21" s="1868"/>
      <c r="I21" s="1870"/>
      <c r="J21" s="1873"/>
      <c r="K21" s="1859"/>
      <c r="L21" s="1226"/>
      <c r="M21" s="1226"/>
      <c r="N21" s="1226"/>
      <c r="O21" s="1226"/>
      <c r="P21" s="1226"/>
      <c r="Q21" s="1226"/>
      <c r="R21" s="1226"/>
      <c r="S21" s="251"/>
      <c r="T21" s="251"/>
      <c r="U21" s="251"/>
      <c r="V21" s="251"/>
      <c r="W21" s="1227"/>
      <c r="X21" s="1189"/>
      <c r="Y21" s="1189"/>
      <c r="Z21" s="1189"/>
      <c r="AA21" s="1189"/>
      <c r="AB21" s="1189"/>
      <c r="AC21" s="1189"/>
      <c r="AD21" s="1189"/>
      <c r="AE21" s="1189"/>
      <c r="AF21" s="1189"/>
      <c r="AG21" s="1189"/>
      <c r="AH21" s="1189"/>
      <c r="AI21" s="1189"/>
      <c r="AJ21" s="1189"/>
      <c r="AK21" s="1189"/>
      <c r="AL21" s="1189"/>
      <c r="AM21" s="1189"/>
      <c r="AN21" s="1189"/>
      <c r="AO21" s="1189"/>
      <c r="AP21" s="1189"/>
      <c r="AQ21" s="1189"/>
    </row>
    <row r="22" spans="1:43" s="1781" customFormat="1" ht="17.25" hidden="1" customHeight="1">
      <c r="A22" s="240"/>
      <c r="C22" s="239"/>
      <c r="D22" s="1861"/>
      <c r="E22" s="1863"/>
      <c r="F22" s="1866"/>
      <c r="G22" s="1863"/>
      <c r="H22" s="1228"/>
      <c r="I22" s="1229"/>
      <c r="J22" s="1229"/>
      <c r="K22" s="1229"/>
      <c r="L22" s="1229"/>
      <c r="M22" s="1229"/>
      <c r="N22" s="1229"/>
      <c r="O22" s="1229"/>
      <c r="P22" s="1229"/>
      <c r="Q22" s="1229"/>
      <c r="R22" s="1229"/>
      <c r="S22" s="1230"/>
      <c r="T22" s="1230"/>
      <c r="U22" s="1230"/>
      <c r="V22" s="1230"/>
      <c r="W22" s="1231"/>
      <c r="X22" s="1189"/>
      <c r="Y22" s="1189"/>
      <c r="Z22" s="1189"/>
      <c r="AA22" s="1189"/>
      <c r="AB22" s="1189"/>
      <c r="AC22" s="1189"/>
      <c r="AD22" s="1189"/>
      <c r="AE22" s="1189"/>
      <c r="AF22" s="1189"/>
      <c r="AG22" s="1189"/>
      <c r="AH22" s="1189"/>
      <c r="AI22" s="1189"/>
      <c r="AJ22" s="1189"/>
      <c r="AK22" s="1189"/>
      <c r="AL22" s="1189"/>
      <c r="AM22" s="1189"/>
      <c r="AN22" s="1189"/>
      <c r="AO22" s="1189"/>
      <c r="AP22" s="1189"/>
      <c r="AQ22" s="1189"/>
    </row>
    <row r="23" spans="1:43" s="1781" customFormat="1" ht="17.25" hidden="1" customHeight="1">
      <c r="A23" s="240"/>
      <c r="C23" s="126"/>
      <c r="D23" s="1860">
        <v>3</v>
      </c>
      <c r="E23" s="1862" t="s">
        <v>162</v>
      </c>
      <c r="F23" s="1864" t="s">
        <v>56</v>
      </c>
      <c r="G23" s="1862"/>
      <c r="H23" s="1867"/>
      <c r="I23" s="1869"/>
      <c r="J23" s="1871"/>
      <c r="K23" s="1858"/>
      <c r="L23" s="1858"/>
      <c r="M23" s="1858"/>
      <c r="N23" s="1874"/>
      <c r="O23" s="1858"/>
      <c r="P23" s="1858"/>
      <c r="Q23" s="1858"/>
      <c r="R23" s="1877"/>
      <c r="S23" s="1858"/>
      <c r="T23" s="1345"/>
      <c r="U23" s="1345"/>
      <c r="V23" s="1344"/>
      <c r="W23" s="1225"/>
      <c r="X23" s="1196"/>
      <c r="Y23" s="1196"/>
      <c r="Z23" s="1196"/>
      <c r="AA23" s="1196"/>
      <c r="AB23" s="1196"/>
      <c r="AC23" s="1196" t="s">
        <v>163</v>
      </c>
      <c r="AD23" s="1196" t="s">
        <v>164</v>
      </c>
      <c r="AE23" s="1196" t="s">
        <v>165</v>
      </c>
      <c r="AF23" s="1196" t="s">
        <v>166</v>
      </c>
      <c r="AG23" s="1196" t="s">
        <v>167</v>
      </c>
      <c r="AH23" s="1196" t="str">
        <f>IF($E$23=0,"",$E$23)</f>
        <v>Тарифы на теплоноситель, поставляемый теплоснабжающими организациями потребителям, другим теплоснабжающим организациям</v>
      </c>
      <c r="AI23" s="1196" t="str">
        <f>IF($G$23=0,"",$G$23)</f>
        <v/>
      </c>
      <c r="AJ23" s="1196" t="str">
        <f>IF($J$23=0,"",$J$23)</f>
        <v/>
      </c>
      <c r="AK23" s="1196" t="str">
        <f>IF($K$23="нет","без дифференциации",IF($N$23=0,"",$N$23))</f>
        <v/>
      </c>
      <c r="AL23" s="1196" t="str">
        <f>IF($O$23="нет","без дифференциации",IF($R$23=0,"",$R$23))</f>
        <v/>
      </c>
      <c r="AM23" s="1196" t="str">
        <f>IF($S$23="нет","без дифференциации",IF($V$23=0,"",$V$23))</f>
        <v/>
      </c>
      <c r="AN23" s="1699">
        <f>$I$23</f>
        <v>0</v>
      </c>
      <c r="AO23" s="1196" t="str">
        <f>$I$23&amp;"."&amp;$M$23</f>
        <v>.</v>
      </c>
      <c r="AP23" s="1189" t="str">
        <f>$I$23&amp;"."&amp;$M$23&amp;"."&amp;$Q$23</f>
        <v>..</v>
      </c>
      <c r="AQ23" s="1189" t="str">
        <f>$I$23&amp;"."&amp;$M$23&amp;"."&amp;$Q$23&amp;"."&amp;$U$23</f>
        <v>...</v>
      </c>
    </row>
    <row r="24" spans="1:43" s="1781" customFormat="1" ht="17.25" hidden="1" customHeight="1">
      <c r="A24" s="240"/>
      <c r="C24" s="239"/>
      <c r="D24" s="1860"/>
      <c r="E24" s="1862"/>
      <c r="F24" s="1865"/>
      <c r="G24" s="1862"/>
      <c r="H24" s="1868"/>
      <c r="I24" s="1870"/>
      <c r="J24" s="1872"/>
      <c r="K24" s="1859"/>
      <c r="L24" s="1859"/>
      <c r="M24" s="1859"/>
      <c r="N24" s="1875"/>
      <c r="O24" s="1859"/>
      <c r="P24" s="1859"/>
      <c r="Q24" s="1859"/>
      <c r="R24" s="1876"/>
      <c r="S24" s="1859"/>
      <c r="T24" s="1226"/>
      <c r="U24" s="1226"/>
      <c r="V24" s="1226"/>
      <c r="W24" s="1227"/>
      <c r="X24" s="1189"/>
      <c r="Y24" s="1189"/>
      <c r="Z24" s="1189"/>
      <c r="AA24" s="1189"/>
      <c r="AB24" s="1189"/>
      <c r="AC24" s="1189"/>
      <c r="AD24" s="1189"/>
      <c r="AE24" s="1189"/>
      <c r="AF24" s="1189"/>
      <c r="AG24" s="1189"/>
      <c r="AH24" s="1189"/>
      <c r="AI24" s="1189"/>
      <c r="AJ24" s="1189"/>
      <c r="AK24" s="1189"/>
      <c r="AL24" s="1189"/>
      <c r="AM24" s="1189"/>
      <c r="AN24" s="1189"/>
      <c r="AO24" s="1189"/>
      <c r="AP24" s="1189"/>
      <c r="AQ24" s="1189"/>
    </row>
    <row r="25" spans="1:43" s="1781" customFormat="1" ht="17.25" hidden="1" customHeight="1">
      <c r="A25" s="240"/>
      <c r="C25" s="239"/>
      <c r="D25" s="1861"/>
      <c r="E25" s="1863"/>
      <c r="F25" s="1865"/>
      <c r="G25" s="1863"/>
      <c r="H25" s="1868"/>
      <c r="I25" s="1870"/>
      <c r="J25" s="1873"/>
      <c r="K25" s="1859"/>
      <c r="L25" s="1859"/>
      <c r="M25" s="1859"/>
      <c r="N25" s="1876"/>
      <c r="O25" s="1859"/>
      <c r="P25" s="1343"/>
      <c r="Q25" s="1226"/>
      <c r="R25" s="1226"/>
      <c r="S25" s="251"/>
      <c r="T25" s="251"/>
      <c r="U25" s="251"/>
      <c r="V25" s="251"/>
      <c r="W25" s="1227"/>
      <c r="X25" s="1189"/>
      <c r="Y25" s="1189"/>
      <c r="Z25" s="1189"/>
      <c r="AA25" s="1189"/>
      <c r="AB25" s="1189"/>
      <c r="AC25" s="1189"/>
      <c r="AD25" s="1189"/>
      <c r="AE25" s="1189"/>
      <c r="AF25" s="1189"/>
      <c r="AG25" s="1189"/>
      <c r="AH25" s="1189"/>
      <c r="AI25" s="1189"/>
      <c r="AJ25" s="1189"/>
      <c r="AK25" s="1189"/>
      <c r="AL25" s="1189"/>
      <c r="AM25" s="1189"/>
      <c r="AN25" s="1189"/>
      <c r="AO25" s="1189"/>
      <c r="AP25" s="1189"/>
      <c r="AQ25" s="1189"/>
    </row>
    <row r="26" spans="1:43" s="1781" customFormat="1" ht="17.25" hidden="1" customHeight="1">
      <c r="A26" s="240"/>
      <c r="C26" s="239"/>
      <c r="D26" s="1861"/>
      <c r="E26" s="1863"/>
      <c r="F26" s="1865"/>
      <c r="G26" s="1863"/>
      <c r="H26" s="1868"/>
      <c r="I26" s="1870"/>
      <c r="J26" s="1873"/>
      <c r="K26" s="1859"/>
      <c r="L26" s="1226"/>
      <c r="M26" s="1226"/>
      <c r="N26" s="1226"/>
      <c r="O26" s="1226"/>
      <c r="P26" s="1226"/>
      <c r="Q26" s="1226"/>
      <c r="R26" s="1226"/>
      <c r="S26" s="251"/>
      <c r="T26" s="251"/>
      <c r="U26" s="251"/>
      <c r="V26" s="251"/>
      <c r="W26" s="1227"/>
      <c r="X26" s="1189"/>
      <c r="Y26" s="1189"/>
      <c r="Z26" s="1189"/>
      <c r="AA26" s="1189"/>
      <c r="AB26" s="1189"/>
      <c r="AC26" s="1189"/>
      <c r="AD26" s="1189"/>
      <c r="AE26" s="1189"/>
      <c r="AF26" s="1189"/>
      <c r="AG26" s="1189"/>
      <c r="AH26" s="1189"/>
      <c r="AI26" s="1189"/>
      <c r="AJ26" s="1189"/>
      <c r="AK26" s="1189"/>
      <c r="AL26" s="1189"/>
      <c r="AM26" s="1189"/>
      <c r="AN26" s="1189"/>
      <c r="AO26" s="1189"/>
      <c r="AP26" s="1189"/>
      <c r="AQ26" s="1189"/>
    </row>
    <row r="27" spans="1:43" s="1781" customFormat="1" ht="17.25" hidden="1" customHeight="1">
      <c r="A27" s="240"/>
      <c r="C27" s="239"/>
      <c r="D27" s="1861"/>
      <c r="E27" s="1863"/>
      <c r="F27" s="1866"/>
      <c r="G27" s="1863"/>
      <c r="H27" s="1228"/>
      <c r="I27" s="1229"/>
      <c r="J27" s="1229"/>
      <c r="K27" s="1229"/>
      <c r="L27" s="1229"/>
      <c r="M27" s="1229"/>
      <c r="N27" s="1229"/>
      <c r="O27" s="1229"/>
      <c r="P27" s="1229"/>
      <c r="Q27" s="1229"/>
      <c r="R27" s="1229"/>
      <c r="S27" s="1230"/>
      <c r="T27" s="1230"/>
      <c r="U27" s="1230"/>
      <c r="V27" s="1230"/>
      <c r="W27" s="1231"/>
      <c r="X27" s="1189"/>
      <c r="Y27" s="1189"/>
      <c r="Z27" s="1189"/>
      <c r="AA27" s="1189"/>
      <c r="AB27" s="1189"/>
      <c r="AC27" s="1189"/>
      <c r="AD27" s="1189"/>
      <c r="AE27" s="1189"/>
      <c r="AF27" s="1189"/>
      <c r="AG27" s="1189"/>
      <c r="AH27" s="1189"/>
      <c r="AI27" s="1189"/>
      <c r="AJ27" s="1189"/>
      <c r="AK27" s="1189"/>
      <c r="AL27" s="1189"/>
      <c r="AM27" s="1189"/>
      <c r="AN27" s="1189"/>
      <c r="AO27" s="1189"/>
      <c r="AP27" s="1189"/>
      <c r="AQ27" s="1189"/>
    </row>
    <row r="28" spans="1:43" s="1781" customFormat="1" ht="17.25" hidden="1" customHeight="1">
      <c r="A28" s="240"/>
      <c r="C28" s="126"/>
      <c r="D28" s="1860">
        <v>4</v>
      </c>
      <c r="E28" s="1862" t="s">
        <v>168</v>
      </c>
      <c r="F28" s="1864" t="s">
        <v>56</v>
      </c>
      <c r="G28" s="1862"/>
      <c r="H28" s="1867"/>
      <c r="I28" s="1869"/>
      <c r="J28" s="1871"/>
      <c r="K28" s="1858"/>
      <c r="L28" s="1858"/>
      <c r="M28" s="1858"/>
      <c r="N28" s="1874"/>
      <c r="O28" s="1858"/>
      <c r="P28" s="1858"/>
      <c r="Q28" s="1858"/>
      <c r="R28" s="1877"/>
      <c r="S28" s="1858"/>
      <c r="T28" s="1345"/>
      <c r="U28" s="1345"/>
      <c r="V28" s="1344"/>
      <c r="W28" s="1225"/>
      <c r="X28" s="1196"/>
      <c r="Y28" s="1196"/>
      <c r="Z28" s="1196"/>
      <c r="AA28" s="1196"/>
      <c r="AB28" s="1196"/>
      <c r="AC28" s="1196" t="s">
        <v>169</v>
      </c>
      <c r="AD28" s="1196" t="s">
        <v>170</v>
      </c>
      <c r="AE28" s="1196" t="s">
        <v>171</v>
      </c>
      <c r="AF28" s="1196" t="s">
        <v>172</v>
      </c>
      <c r="AG28" s="1196" t="s">
        <v>173</v>
      </c>
      <c r="AH28" s="11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96" t="str">
        <f>IF($G$28=0,"",$G$28)</f>
        <v/>
      </c>
      <c r="AJ28" s="1196" t="str">
        <f>IF($J$28=0,"",$J$28)</f>
        <v/>
      </c>
      <c r="AK28" s="1196" t="str">
        <f>IF($K$28="нет","без дифференциации",IF($N$28=0,"",$N$28))</f>
        <v/>
      </c>
      <c r="AL28" s="1196" t="str">
        <f>IF($O$28="нет","без дифференциации",IF($R$28=0,"",$R$28))</f>
        <v/>
      </c>
      <c r="AM28" s="1196" t="str">
        <f>IF($S$28="нет","без дифференциации",IF($V$28=0,"",$V$28))</f>
        <v/>
      </c>
      <c r="AN28" s="1699">
        <f>$I$28</f>
        <v>0</v>
      </c>
      <c r="AO28" s="1196" t="str">
        <f>$I$28&amp;"."&amp;$M$28</f>
        <v>.</v>
      </c>
      <c r="AP28" s="1189" t="str">
        <f>$I$28&amp;"."&amp;$M$28&amp;"."&amp;$Q$28</f>
        <v>..</v>
      </c>
      <c r="AQ28" s="1189" t="str">
        <f>$I$28&amp;"."&amp;$M$28&amp;"."&amp;$Q$28&amp;"."&amp;$U$28</f>
        <v>...</v>
      </c>
    </row>
    <row r="29" spans="1:43" s="1781" customFormat="1" ht="17.25" hidden="1" customHeight="1">
      <c r="A29" s="240"/>
      <c r="C29" s="239"/>
      <c r="D29" s="1860"/>
      <c r="E29" s="1862"/>
      <c r="F29" s="1865"/>
      <c r="G29" s="1862"/>
      <c r="H29" s="1868"/>
      <c r="I29" s="1870"/>
      <c r="J29" s="1872"/>
      <c r="K29" s="1859"/>
      <c r="L29" s="1859"/>
      <c r="M29" s="1859"/>
      <c r="N29" s="1875"/>
      <c r="O29" s="1859"/>
      <c r="P29" s="1859"/>
      <c r="Q29" s="1859"/>
      <c r="R29" s="1876"/>
      <c r="S29" s="1859"/>
      <c r="T29" s="1226"/>
      <c r="U29" s="1226"/>
      <c r="V29" s="1226"/>
      <c r="W29" s="1227"/>
      <c r="X29" s="1189"/>
      <c r="Y29" s="1189"/>
      <c r="Z29" s="1189"/>
      <c r="AA29" s="1189"/>
      <c r="AB29" s="1189"/>
      <c r="AC29" s="1189"/>
      <c r="AD29" s="1189"/>
      <c r="AE29" s="1189"/>
      <c r="AF29" s="1189"/>
      <c r="AG29" s="1189"/>
      <c r="AH29" s="1189"/>
      <c r="AI29" s="1189"/>
      <c r="AJ29" s="1189"/>
      <c r="AK29" s="1189"/>
      <c r="AL29" s="1189"/>
      <c r="AM29" s="1189"/>
      <c r="AN29" s="1189"/>
      <c r="AO29" s="1189"/>
      <c r="AP29" s="1189"/>
      <c r="AQ29" s="1189"/>
    </row>
    <row r="30" spans="1:43" s="1781" customFormat="1" ht="17.25" hidden="1" customHeight="1">
      <c r="A30" s="240"/>
      <c r="C30" s="239"/>
      <c r="D30" s="1861"/>
      <c r="E30" s="1863"/>
      <c r="F30" s="1865"/>
      <c r="G30" s="1863"/>
      <c r="H30" s="1868"/>
      <c r="I30" s="1870"/>
      <c r="J30" s="1873"/>
      <c r="K30" s="1859"/>
      <c r="L30" s="1859"/>
      <c r="M30" s="1859"/>
      <c r="N30" s="1876"/>
      <c r="O30" s="1859"/>
      <c r="P30" s="1343"/>
      <c r="Q30" s="1226"/>
      <c r="R30" s="1226"/>
      <c r="S30" s="251"/>
      <c r="T30" s="251"/>
      <c r="U30" s="251"/>
      <c r="V30" s="251"/>
      <c r="W30" s="1227"/>
      <c r="X30" s="1189"/>
      <c r="Y30" s="1189"/>
      <c r="Z30" s="1189"/>
      <c r="AA30" s="1189"/>
      <c r="AB30" s="1189"/>
      <c r="AC30" s="1189"/>
      <c r="AD30" s="1189"/>
      <c r="AE30" s="1189"/>
      <c r="AF30" s="1189"/>
      <c r="AG30" s="1189"/>
      <c r="AH30" s="1189"/>
      <c r="AI30" s="1189"/>
      <c r="AJ30" s="1189"/>
      <c r="AK30" s="1189"/>
      <c r="AL30" s="1189"/>
      <c r="AM30" s="1189"/>
      <c r="AN30" s="1189"/>
      <c r="AO30" s="1189"/>
      <c r="AP30" s="1189"/>
      <c r="AQ30" s="1189"/>
    </row>
    <row r="31" spans="1:43" s="1781" customFormat="1" ht="17.25" hidden="1" customHeight="1">
      <c r="A31" s="240"/>
      <c r="C31" s="239"/>
      <c r="D31" s="1861"/>
      <c r="E31" s="1863"/>
      <c r="F31" s="1865"/>
      <c r="G31" s="1863"/>
      <c r="H31" s="1868"/>
      <c r="I31" s="1870"/>
      <c r="J31" s="1873"/>
      <c r="K31" s="1859"/>
      <c r="L31" s="1226"/>
      <c r="M31" s="1226"/>
      <c r="N31" s="1226"/>
      <c r="O31" s="1226"/>
      <c r="P31" s="1226"/>
      <c r="Q31" s="1226"/>
      <c r="R31" s="1226"/>
      <c r="S31" s="251"/>
      <c r="T31" s="251"/>
      <c r="U31" s="251"/>
      <c r="V31" s="251"/>
      <c r="W31" s="1227"/>
      <c r="X31" s="1189"/>
      <c r="Y31" s="1189"/>
      <c r="Z31" s="1189"/>
      <c r="AA31" s="1189"/>
      <c r="AB31" s="1189"/>
      <c r="AC31" s="1189"/>
      <c r="AD31" s="1189"/>
      <c r="AE31" s="1189"/>
      <c r="AF31" s="1189"/>
      <c r="AG31" s="1189"/>
      <c r="AH31" s="1189"/>
      <c r="AI31" s="1189"/>
      <c r="AJ31" s="1189"/>
      <c r="AK31" s="1189"/>
      <c r="AL31" s="1189"/>
      <c r="AM31" s="1189"/>
      <c r="AN31" s="1189"/>
      <c r="AO31" s="1189"/>
      <c r="AP31" s="1189"/>
      <c r="AQ31" s="1189"/>
    </row>
    <row r="32" spans="1:43" s="1781" customFormat="1" ht="17.25" hidden="1" customHeight="1">
      <c r="A32" s="240"/>
      <c r="C32" s="239"/>
      <c r="D32" s="1861"/>
      <c r="E32" s="1863"/>
      <c r="F32" s="1866"/>
      <c r="G32" s="1863"/>
      <c r="H32" s="1228"/>
      <c r="I32" s="1229"/>
      <c r="J32" s="1229"/>
      <c r="K32" s="1229"/>
      <c r="L32" s="1229"/>
      <c r="M32" s="1229"/>
      <c r="N32" s="1229"/>
      <c r="O32" s="1229"/>
      <c r="P32" s="1229"/>
      <c r="Q32" s="1229"/>
      <c r="R32" s="1229"/>
      <c r="S32" s="1230"/>
      <c r="T32" s="1230"/>
      <c r="U32" s="1230"/>
      <c r="V32" s="1230"/>
      <c r="W32" s="1231"/>
      <c r="X32" s="1189"/>
      <c r="Y32" s="1189"/>
      <c r="Z32" s="1189"/>
      <c r="AA32" s="1189"/>
      <c r="AB32" s="1189"/>
      <c r="AC32" s="1189"/>
      <c r="AD32" s="1189"/>
      <c r="AE32" s="1189"/>
      <c r="AF32" s="1189"/>
      <c r="AG32" s="1189"/>
      <c r="AH32" s="1189"/>
      <c r="AI32" s="1189"/>
      <c r="AJ32" s="1189"/>
      <c r="AK32" s="1189"/>
      <c r="AL32" s="1189"/>
      <c r="AM32" s="1189"/>
      <c r="AN32" s="1189"/>
      <c r="AO32" s="1189"/>
      <c r="AP32" s="1189"/>
      <c r="AQ32" s="1189"/>
    </row>
    <row r="33" spans="1:43" s="1781" customFormat="1" ht="17.25" hidden="1" customHeight="1">
      <c r="A33" s="240"/>
      <c r="C33" s="126"/>
      <c r="D33" s="1860">
        <v>5</v>
      </c>
      <c r="E33" s="1862" t="s">
        <v>174</v>
      </c>
      <c r="F33" s="1864" t="s">
        <v>56</v>
      </c>
      <c r="G33" s="1862"/>
      <c r="H33" s="1867"/>
      <c r="I33" s="1869"/>
      <c r="J33" s="1871"/>
      <c r="K33" s="1858"/>
      <c r="L33" s="1858"/>
      <c r="M33" s="1858"/>
      <c r="N33" s="1874"/>
      <c r="O33" s="1858"/>
      <c r="P33" s="1858"/>
      <c r="Q33" s="1858"/>
      <c r="R33" s="1877"/>
      <c r="S33" s="1858"/>
      <c r="T33" s="1345"/>
      <c r="U33" s="1345"/>
      <c r="V33" s="1344"/>
      <c r="W33" s="1225"/>
      <c r="X33" s="1196"/>
      <c r="Y33" s="1196"/>
      <c r="Z33" s="1196"/>
      <c r="AA33" s="1196"/>
      <c r="AB33" s="1196"/>
      <c r="AC33" s="1196" t="s">
        <v>175</v>
      </c>
      <c r="AD33" s="1196" t="s">
        <v>176</v>
      </c>
      <c r="AE33" s="1196" t="s">
        <v>177</v>
      </c>
      <c r="AF33" s="1196" t="s">
        <v>178</v>
      </c>
      <c r="AG33" s="1196" t="s">
        <v>179</v>
      </c>
      <c r="AH33" s="1196" t="str">
        <f>IF($E$33=0,"",$E$33)</f>
        <v>Тарифы на услуги по передаче тепловой энергии</v>
      </c>
      <c r="AI33" s="1196" t="str">
        <f>IF($G$33=0,"",$G$33)</f>
        <v/>
      </c>
      <c r="AJ33" s="1196" t="str">
        <f>IF($J$33=0,"",$J$33)</f>
        <v/>
      </c>
      <c r="AK33" s="1196" t="str">
        <f>IF($K$33="нет","без дифференциации",IF($N$33=0,"",$N$33))</f>
        <v/>
      </c>
      <c r="AL33" s="1196" t="str">
        <f>IF($O$33="нет","без дифференциации",IF($R$33=0,"",$R$33))</f>
        <v/>
      </c>
      <c r="AM33" s="1196" t="str">
        <f>IF($S$33="нет","без дифференциации",IF($V$33=0,"",$V$33))</f>
        <v/>
      </c>
      <c r="AN33" s="1699">
        <f>$I$33</f>
        <v>0</v>
      </c>
      <c r="AO33" s="1196" t="str">
        <f>$I$33&amp;"."&amp;$M$33</f>
        <v>.</v>
      </c>
      <c r="AP33" s="1189" t="str">
        <f>$I$33&amp;"."&amp;$M$33&amp;"."&amp;$Q$33</f>
        <v>..</v>
      </c>
      <c r="AQ33" s="1189" t="str">
        <f>$I$33&amp;"."&amp;$M$33&amp;"."&amp;$Q$33&amp;"."&amp;$U$33</f>
        <v>...</v>
      </c>
    </row>
    <row r="34" spans="1:43" s="1781" customFormat="1" ht="17.25" hidden="1" customHeight="1">
      <c r="A34" s="240"/>
      <c r="C34" s="239"/>
      <c r="D34" s="1860"/>
      <c r="E34" s="1862"/>
      <c r="F34" s="1865"/>
      <c r="G34" s="1862"/>
      <c r="H34" s="1868"/>
      <c r="I34" s="1870"/>
      <c r="J34" s="1872"/>
      <c r="K34" s="1859"/>
      <c r="L34" s="1859"/>
      <c r="M34" s="1859"/>
      <c r="N34" s="1875"/>
      <c r="O34" s="1859"/>
      <c r="P34" s="1859"/>
      <c r="Q34" s="1859"/>
      <c r="R34" s="1876"/>
      <c r="S34" s="1859"/>
      <c r="T34" s="1226"/>
      <c r="U34" s="1226"/>
      <c r="V34" s="1226"/>
      <c r="W34" s="1227"/>
      <c r="X34" s="1189"/>
      <c r="Y34" s="1189"/>
      <c r="Z34" s="1189"/>
      <c r="AA34" s="1189"/>
      <c r="AB34" s="1189"/>
      <c r="AC34" s="1189"/>
      <c r="AD34" s="1189"/>
      <c r="AE34" s="1189"/>
      <c r="AF34" s="1189"/>
      <c r="AG34" s="1189"/>
      <c r="AH34" s="1189"/>
      <c r="AI34" s="1189"/>
      <c r="AJ34" s="1189"/>
      <c r="AK34" s="1189"/>
      <c r="AL34" s="1189"/>
      <c r="AM34" s="1189"/>
      <c r="AN34" s="1189"/>
      <c r="AO34" s="1189"/>
      <c r="AP34" s="1189"/>
      <c r="AQ34" s="1189"/>
    </row>
    <row r="35" spans="1:43" s="1781" customFormat="1" ht="17.25" hidden="1" customHeight="1">
      <c r="A35" s="240"/>
      <c r="C35" s="239"/>
      <c r="D35" s="1861"/>
      <c r="E35" s="1863"/>
      <c r="F35" s="1865"/>
      <c r="G35" s="1863"/>
      <c r="H35" s="1868"/>
      <c r="I35" s="1870"/>
      <c r="J35" s="1873"/>
      <c r="K35" s="1859"/>
      <c r="L35" s="1859"/>
      <c r="M35" s="1859"/>
      <c r="N35" s="1876"/>
      <c r="O35" s="1859"/>
      <c r="P35" s="1343"/>
      <c r="Q35" s="1226"/>
      <c r="R35" s="1226"/>
      <c r="S35" s="251"/>
      <c r="T35" s="251"/>
      <c r="U35" s="251"/>
      <c r="V35" s="251"/>
      <c r="W35" s="1227"/>
      <c r="X35" s="1189"/>
      <c r="Y35" s="1189"/>
      <c r="Z35" s="1189"/>
      <c r="AA35" s="1189"/>
      <c r="AB35" s="1189"/>
      <c r="AC35" s="1189"/>
      <c r="AD35" s="1189"/>
      <c r="AE35" s="1189"/>
      <c r="AF35" s="1189"/>
      <c r="AG35" s="1189"/>
      <c r="AH35" s="1189"/>
      <c r="AI35" s="1189"/>
      <c r="AJ35" s="1189"/>
      <c r="AK35" s="1189"/>
      <c r="AL35" s="1189"/>
      <c r="AM35" s="1189"/>
      <c r="AN35" s="1189"/>
      <c r="AO35" s="1189"/>
      <c r="AP35" s="1189"/>
      <c r="AQ35" s="1189"/>
    </row>
    <row r="36" spans="1:43" s="1781" customFormat="1" ht="17.25" hidden="1" customHeight="1">
      <c r="A36" s="240"/>
      <c r="C36" s="239"/>
      <c r="D36" s="1861"/>
      <c r="E36" s="1863"/>
      <c r="F36" s="1865"/>
      <c r="G36" s="1863"/>
      <c r="H36" s="1868"/>
      <c r="I36" s="1870"/>
      <c r="J36" s="1873"/>
      <c r="K36" s="1859"/>
      <c r="L36" s="1226"/>
      <c r="M36" s="1226"/>
      <c r="N36" s="1226"/>
      <c r="O36" s="1226"/>
      <c r="P36" s="1226"/>
      <c r="Q36" s="1226"/>
      <c r="R36" s="1226"/>
      <c r="S36" s="251"/>
      <c r="T36" s="251"/>
      <c r="U36" s="251"/>
      <c r="V36" s="251"/>
      <c r="W36" s="1227"/>
      <c r="X36" s="1189"/>
      <c r="Y36" s="1189"/>
      <c r="Z36" s="1189"/>
      <c r="AA36" s="1189"/>
      <c r="AB36" s="1189"/>
      <c r="AC36" s="1189"/>
      <c r="AD36" s="1189"/>
      <c r="AE36" s="1189"/>
      <c r="AF36" s="1189"/>
      <c r="AG36" s="1189"/>
      <c r="AH36" s="1189"/>
      <c r="AI36" s="1189"/>
      <c r="AJ36" s="1189"/>
      <c r="AK36" s="1189"/>
      <c r="AL36" s="1189"/>
      <c r="AM36" s="1189"/>
      <c r="AN36" s="1189"/>
      <c r="AO36" s="1189"/>
      <c r="AP36" s="1189"/>
      <c r="AQ36" s="1189"/>
    </row>
    <row r="37" spans="1:43" s="1781" customFormat="1" ht="17.25" hidden="1" customHeight="1">
      <c r="A37" s="240"/>
      <c r="C37" s="239"/>
      <c r="D37" s="1861"/>
      <c r="E37" s="1863"/>
      <c r="F37" s="1866"/>
      <c r="G37" s="1863"/>
      <c r="H37" s="1228"/>
      <c r="I37" s="1229"/>
      <c r="J37" s="1229"/>
      <c r="K37" s="1229"/>
      <c r="L37" s="1229"/>
      <c r="M37" s="1229"/>
      <c r="N37" s="1229"/>
      <c r="O37" s="1229"/>
      <c r="P37" s="1229"/>
      <c r="Q37" s="1229"/>
      <c r="R37" s="1229"/>
      <c r="S37" s="1230"/>
      <c r="T37" s="1230"/>
      <c r="U37" s="1230"/>
      <c r="V37" s="1230"/>
      <c r="W37" s="1231"/>
      <c r="X37" s="1189"/>
      <c r="Y37" s="1189"/>
      <c r="Z37" s="1189"/>
      <c r="AA37" s="1189"/>
      <c r="AB37" s="1189"/>
      <c r="AC37" s="1189"/>
      <c r="AD37" s="1189"/>
      <c r="AE37" s="1189"/>
      <c r="AF37" s="1189"/>
      <c r="AG37" s="1189"/>
      <c r="AH37" s="1189"/>
      <c r="AI37" s="1189"/>
      <c r="AJ37" s="1189"/>
      <c r="AK37" s="1189"/>
      <c r="AL37" s="1189"/>
      <c r="AM37" s="1189"/>
      <c r="AN37" s="1189"/>
      <c r="AO37" s="1189"/>
      <c r="AP37" s="1189"/>
      <c r="AQ37" s="1189"/>
    </row>
    <row r="38" spans="1:43" s="1781" customFormat="1" ht="17.25" hidden="1" customHeight="1">
      <c r="A38" s="240"/>
      <c r="C38" s="126"/>
      <c r="D38" s="1860">
        <v>6</v>
      </c>
      <c r="E38" s="1862" t="s">
        <v>180</v>
      </c>
      <c r="F38" s="1864" t="s">
        <v>56</v>
      </c>
      <c r="G38" s="1862"/>
      <c r="H38" s="1867"/>
      <c r="I38" s="1869"/>
      <c r="J38" s="1871"/>
      <c r="K38" s="1858"/>
      <c r="L38" s="1858"/>
      <c r="M38" s="1858"/>
      <c r="N38" s="1874"/>
      <c r="O38" s="1858"/>
      <c r="P38" s="1858"/>
      <c r="Q38" s="1858"/>
      <c r="R38" s="1877"/>
      <c r="S38" s="1858"/>
      <c r="T38" s="1345"/>
      <c r="U38" s="1345"/>
      <c r="V38" s="1344"/>
      <c r="W38" s="1225"/>
      <c r="X38" s="1196"/>
      <c r="Y38" s="1196"/>
      <c r="Z38" s="1196"/>
      <c r="AA38" s="1196"/>
      <c r="AB38" s="1196"/>
      <c r="AC38" s="1196" t="s">
        <v>181</v>
      </c>
      <c r="AD38" s="1196" t="s">
        <v>182</v>
      </c>
      <c r="AE38" s="1196" t="s">
        <v>183</v>
      </c>
      <c r="AF38" s="1196" t="s">
        <v>184</v>
      </c>
      <c r="AG38" s="1196" t="s">
        <v>185</v>
      </c>
      <c r="AH38" s="1196" t="str">
        <f>IF($E$38=0,"",$E$38)</f>
        <v>Тарифы на услуги по передаче теплоносителя</v>
      </c>
      <c r="AI38" s="1196" t="str">
        <f>IF($G$38=0,"",$G$38)</f>
        <v/>
      </c>
      <c r="AJ38" s="1196" t="str">
        <f>IF($J$38=0,"",$J$38)</f>
        <v/>
      </c>
      <c r="AK38" s="1196" t="str">
        <f>IF($K$38="нет","без дифференциации",IF($N$38=0,"",$N$38))</f>
        <v/>
      </c>
      <c r="AL38" s="1196" t="str">
        <f>IF($O$38="нет","без дифференциации",IF($R$38=0,"",$R$38))</f>
        <v/>
      </c>
      <c r="AM38" s="1196" t="str">
        <f>IF($S$38="нет","без дифференциации",IF($V$38=0,"",$V$38))</f>
        <v/>
      </c>
      <c r="AN38" s="1699">
        <f>$I$38</f>
        <v>0</v>
      </c>
      <c r="AO38" s="1196" t="str">
        <f>$I$38&amp;"."&amp;$M$38</f>
        <v>.</v>
      </c>
      <c r="AP38" s="1189" t="str">
        <f>$I$38&amp;"."&amp;$M$38&amp;"."&amp;$Q$38</f>
        <v>..</v>
      </c>
      <c r="AQ38" s="1189" t="str">
        <f>$I$38&amp;"."&amp;$M$38&amp;"."&amp;$Q$38&amp;"."&amp;$U$38</f>
        <v>...</v>
      </c>
    </row>
    <row r="39" spans="1:43" s="1781" customFormat="1" ht="17.25" hidden="1" customHeight="1">
      <c r="A39" s="240"/>
      <c r="C39" s="239"/>
      <c r="D39" s="1860"/>
      <c r="E39" s="1862"/>
      <c r="F39" s="1865"/>
      <c r="G39" s="1862"/>
      <c r="H39" s="1868"/>
      <c r="I39" s="1870"/>
      <c r="J39" s="1872"/>
      <c r="K39" s="1859"/>
      <c r="L39" s="1859"/>
      <c r="M39" s="1859"/>
      <c r="N39" s="1875"/>
      <c r="O39" s="1859"/>
      <c r="P39" s="1859"/>
      <c r="Q39" s="1859"/>
      <c r="R39" s="1876"/>
      <c r="S39" s="1859"/>
      <c r="T39" s="1226"/>
      <c r="U39" s="1226"/>
      <c r="V39" s="1226"/>
      <c r="W39" s="1227"/>
      <c r="X39" s="1189"/>
      <c r="Y39" s="1189"/>
      <c r="Z39" s="1189"/>
      <c r="AA39" s="1189"/>
      <c r="AB39" s="1189"/>
      <c r="AC39" s="1189"/>
      <c r="AD39" s="1189"/>
      <c r="AE39" s="1189"/>
      <c r="AF39" s="1189"/>
      <c r="AG39" s="1189"/>
      <c r="AH39" s="1189"/>
      <c r="AI39" s="1189"/>
      <c r="AJ39" s="1189"/>
      <c r="AK39" s="1189"/>
      <c r="AL39" s="1189"/>
      <c r="AM39" s="1189"/>
      <c r="AN39" s="1189"/>
      <c r="AO39" s="1189"/>
      <c r="AP39" s="1189"/>
      <c r="AQ39" s="1189"/>
    </row>
    <row r="40" spans="1:43" s="1781" customFormat="1" ht="17.25" hidden="1" customHeight="1">
      <c r="A40" s="240"/>
      <c r="C40" s="239"/>
      <c r="D40" s="1861"/>
      <c r="E40" s="1863"/>
      <c r="F40" s="1865"/>
      <c r="G40" s="1863"/>
      <c r="H40" s="1868"/>
      <c r="I40" s="1870"/>
      <c r="J40" s="1873"/>
      <c r="K40" s="1859"/>
      <c r="L40" s="1859"/>
      <c r="M40" s="1859"/>
      <c r="N40" s="1876"/>
      <c r="O40" s="1859"/>
      <c r="P40" s="1343"/>
      <c r="Q40" s="1226"/>
      <c r="R40" s="1226"/>
      <c r="S40" s="251"/>
      <c r="T40" s="251"/>
      <c r="U40" s="251"/>
      <c r="V40" s="251"/>
      <c r="W40" s="1227"/>
      <c r="X40" s="1189"/>
      <c r="Y40" s="1189"/>
      <c r="Z40" s="1189"/>
      <c r="AA40" s="1189"/>
      <c r="AB40" s="1189"/>
      <c r="AC40" s="1189"/>
      <c r="AD40" s="1189"/>
      <c r="AE40" s="1189"/>
      <c r="AF40" s="1189"/>
      <c r="AG40" s="1189"/>
      <c r="AH40" s="1189"/>
      <c r="AI40" s="1189"/>
      <c r="AJ40" s="1189"/>
      <c r="AK40" s="1189"/>
      <c r="AL40" s="1189"/>
      <c r="AM40" s="1189"/>
      <c r="AN40" s="1189"/>
      <c r="AO40" s="1189"/>
      <c r="AP40" s="1189"/>
      <c r="AQ40" s="1189"/>
    </row>
    <row r="41" spans="1:43" s="1781" customFormat="1" ht="17.25" hidden="1" customHeight="1">
      <c r="A41" s="240"/>
      <c r="C41" s="126"/>
      <c r="D41" s="1861"/>
      <c r="E41" s="1863"/>
      <c r="F41" s="1865"/>
      <c r="G41" s="1863"/>
      <c r="H41" s="1868"/>
      <c r="I41" s="1870"/>
      <c r="J41" s="1873"/>
      <c r="K41" s="1859"/>
      <c r="L41" s="1226"/>
      <c r="M41" s="1226"/>
      <c r="N41" s="1226"/>
      <c r="O41" s="1226"/>
      <c r="P41" s="1226"/>
      <c r="Q41" s="1226"/>
      <c r="R41" s="1226"/>
      <c r="S41" s="251"/>
      <c r="T41" s="251"/>
      <c r="U41" s="251"/>
      <c r="V41" s="251"/>
      <c r="W41" s="1227"/>
      <c r="Y41" s="1196"/>
      <c r="Z41" s="1196"/>
      <c r="AA41" s="1196"/>
      <c r="AB41" s="1196"/>
      <c r="AC41" s="1196"/>
      <c r="AD41" s="1196"/>
      <c r="AE41" s="1196"/>
      <c r="AF41" s="1196"/>
      <c r="AG41" s="1196"/>
      <c r="AH41" s="1196"/>
      <c r="AI41" s="1196"/>
      <c r="AJ41" s="1196"/>
      <c r="AK41" s="1196"/>
      <c r="AL41" s="1196"/>
      <c r="AM41" s="1196"/>
      <c r="AN41" s="1196"/>
      <c r="AO41" s="1196"/>
      <c r="AP41" s="1196"/>
      <c r="AQ41" s="1196"/>
    </row>
    <row r="42" spans="1:43" s="1781" customFormat="1" ht="17.25" hidden="1" customHeight="1">
      <c r="A42" s="240"/>
      <c r="C42" s="239"/>
      <c r="D42" s="1861"/>
      <c r="E42" s="1863"/>
      <c r="F42" s="1866"/>
      <c r="G42" s="1863"/>
      <c r="H42" s="1228"/>
      <c r="I42" s="1229"/>
      <c r="J42" s="1229"/>
      <c r="K42" s="1229"/>
      <c r="L42" s="1229"/>
      <c r="M42" s="1229"/>
      <c r="N42" s="1229"/>
      <c r="O42" s="1229"/>
      <c r="P42" s="1229"/>
      <c r="Q42" s="1229"/>
      <c r="R42" s="1229"/>
      <c r="S42" s="1230"/>
      <c r="T42" s="1230"/>
      <c r="U42" s="1230"/>
      <c r="V42" s="1230"/>
      <c r="W42" s="1231"/>
      <c r="X42" s="1189"/>
      <c r="Y42" s="1189"/>
      <c r="Z42" s="1189"/>
      <c r="AA42" s="1189"/>
      <c r="AB42" s="1189"/>
      <c r="AC42" s="1189"/>
      <c r="AD42" s="1189"/>
      <c r="AE42" s="1189"/>
      <c r="AF42" s="1189"/>
      <c r="AG42" s="1189"/>
      <c r="AH42" s="1189"/>
      <c r="AI42" s="1189"/>
      <c r="AJ42" s="1189"/>
      <c r="AK42" s="1189"/>
      <c r="AL42" s="1189"/>
      <c r="AM42" s="1189"/>
      <c r="AN42" s="1189"/>
      <c r="AO42" s="1189"/>
      <c r="AP42" s="1189"/>
      <c r="AQ42" s="1189"/>
    </row>
    <row r="43" spans="1:43" s="1781" customFormat="1" ht="17.25" hidden="1" customHeight="1">
      <c r="A43" s="240"/>
      <c r="C43" s="126"/>
      <c r="D43" s="1881">
        <v>7</v>
      </c>
      <c r="E43" s="1884" t="s">
        <v>186</v>
      </c>
      <c r="F43" s="1864" t="s">
        <v>56</v>
      </c>
      <c r="G43" s="1884"/>
      <c r="H43" s="1867"/>
      <c r="I43" s="1869"/>
      <c r="J43" s="1871"/>
      <c r="K43" s="1858"/>
      <c r="L43" s="1858"/>
      <c r="M43" s="1858"/>
      <c r="N43" s="1874"/>
      <c r="O43" s="1858"/>
      <c r="P43" s="1858"/>
      <c r="Q43" s="1858"/>
      <c r="R43" s="1877"/>
      <c r="S43" s="1858"/>
      <c r="T43" s="1345"/>
      <c r="U43" s="1345"/>
      <c r="V43" s="1344"/>
      <c r="W43" s="1225"/>
      <c r="X43" s="1196"/>
      <c r="Y43" s="1196"/>
      <c r="Z43" s="1196"/>
      <c r="AA43" s="1196"/>
      <c r="AB43" s="1196"/>
      <c r="AC43" s="1196" t="s">
        <v>187</v>
      </c>
      <c r="AD43" s="1196" t="s">
        <v>188</v>
      </c>
      <c r="AE43" s="1196" t="s">
        <v>189</v>
      </c>
      <c r="AF43" s="1196" t="s">
        <v>190</v>
      </c>
      <c r="AG43" s="1196" t="s">
        <v>191</v>
      </c>
      <c r="AH43" s="1196" t="str">
        <f>IF($E$43=0,"",$E$43)</f>
        <v>Плата за услуги по поддержанию резервной тепловой мощности при отсутствии потребления тепловой энергии</v>
      </c>
      <c r="AI43" s="1196" t="str">
        <f>IF($G$43=0,"",$G$43)</f>
        <v/>
      </c>
      <c r="AJ43" s="1196" t="str">
        <f>IF($J$43=0,"",$J$43)</f>
        <v/>
      </c>
      <c r="AK43" s="1196" t="str">
        <f>IF($K$43="нет","без дифференциации",IF($N$43=0,"",$N$43))</f>
        <v/>
      </c>
      <c r="AL43" s="1196" t="str">
        <f>IF($O$43="нет","без дифференциации",IF($R$43=0,"",$R$43))</f>
        <v/>
      </c>
      <c r="AM43" s="1196" t="str">
        <f>IF($S$43="нет","без дифференциации",IF($V$43=0,"",$V$43))</f>
        <v/>
      </c>
      <c r="AN43" s="1699">
        <f>$I$43</f>
        <v>0</v>
      </c>
      <c r="AO43" s="1196" t="str">
        <f>$I$43&amp;"."&amp;$M$43</f>
        <v>.</v>
      </c>
      <c r="AP43" s="1189" t="str">
        <f>$I$43&amp;"."&amp;$M$43&amp;"."&amp;$Q$43</f>
        <v>..</v>
      </c>
      <c r="AQ43" s="1189" t="str">
        <f>$I$43&amp;"."&amp;$M$43&amp;"."&amp;$Q$43&amp;"."&amp;$U$43</f>
        <v>...</v>
      </c>
    </row>
    <row r="44" spans="1:43" s="1781" customFormat="1" ht="17.25" hidden="1" customHeight="1">
      <c r="A44" s="240"/>
      <c r="C44" s="239"/>
      <c r="D44" s="1882"/>
      <c r="E44" s="1885"/>
      <c r="F44" s="1865"/>
      <c r="G44" s="1885"/>
      <c r="H44" s="1868"/>
      <c r="I44" s="1870"/>
      <c r="J44" s="1872"/>
      <c r="K44" s="1859"/>
      <c r="L44" s="1859"/>
      <c r="M44" s="1859"/>
      <c r="N44" s="1875"/>
      <c r="O44" s="1859"/>
      <c r="P44" s="1859"/>
      <c r="Q44" s="1859"/>
      <c r="R44" s="1876"/>
      <c r="S44" s="1859"/>
      <c r="T44" s="1226"/>
      <c r="U44" s="1226"/>
      <c r="V44" s="1226"/>
      <c r="W44" s="1227"/>
      <c r="X44" s="1189"/>
      <c r="Y44" s="1189"/>
      <c r="Z44" s="1189"/>
      <c r="AA44" s="1189"/>
      <c r="AB44" s="1189"/>
      <c r="AC44" s="1189"/>
      <c r="AD44" s="1189"/>
      <c r="AE44" s="1189"/>
      <c r="AF44" s="1189"/>
      <c r="AG44" s="1189"/>
      <c r="AH44" s="1189"/>
      <c r="AI44" s="1189"/>
      <c r="AJ44" s="1189"/>
      <c r="AK44" s="1189"/>
      <c r="AL44" s="1189"/>
      <c r="AM44" s="1189"/>
      <c r="AN44" s="1189"/>
      <c r="AO44" s="1189"/>
      <c r="AP44" s="1189"/>
      <c r="AQ44" s="1189"/>
    </row>
    <row r="45" spans="1:43" s="1781" customFormat="1" ht="17.25" hidden="1" customHeight="1">
      <c r="A45" s="240"/>
      <c r="C45" s="239"/>
      <c r="D45" s="1882"/>
      <c r="E45" s="1885"/>
      <c r="F45" s="1865"/>
      <c r="G45" s="1885"/>
      <c r="H45" s="1868"/>
      <c r="I45" s="1870"/>
      <c r="J45" s="1873"/>
      <c r="K45" s="1859"/>
      <c r="L45" s="1859"/>
      <c r="M45" s="1859"/>
      <c r="N45" s="1876"/>
      <c r="O45" s="1859"/>
      <c r="P45" s="1343"/>
      <c r="Q45" s="1226"/>
      <c r="R45" s="1226"/>
      <c r="S45" s="251"/>
      <c r="T45" s="251"/>
      <c r="U45" s="251"/>
      <c r="V45" s="251"/>
      <c r="W45" s="1227"/>
      <c r="X45" s="1189"/>
      <c r="Y45" s="1189"/>
      <c r="Z45" s="1189"/>
      <c r="AA45" s="1189"/>
      <c r="AB45" s="1189"/>
      <c r="AC45" s="1189"/>
      <c r="AD45" s="1189"/>
      <c r="AE45" s="1189"/>
      <c r="AF45" s="1189"/>
      <c r="AG45" s="1189"/>
      <c r="AH45" s="1189"/>
      <c r="AI45" s="1189"/>
      <c r="AJ45" s="1189"/>
      <c r="AK45" s="1189"/>
      <c r="AL45" s="1189"/>
      <c r="AM45" s="1189"/>
      <c r="AN45" s="1189"/>
      <c r="AO45" s="1189"/>
      <c r="AP45" s="1189"/>
      <c r="AQ45" s="1189"/>
    </row>
    <row r="46" spans="1:43" s="1781" customFormat="1" ht="17.25" hidden="1" customHeight="1">
      <c r="A46" s="240"/>
      <c r="C46" s="126"/>
      <c r="D46" s="1882"/>
      <c r="E46" s="1885"/>
      <c r="F46" s="1865"/>
      <c r="G46" s="1885"/>
      <c r="H46" s="1868"/>
      <c r="I46" s="1870"/>
      <c r="J46" s="1873"/>
      <c r="K46" s="1859"/>
      <c r="L46" s="1226"/>
      <c r="M46" s="1226"/>
      <c r="N46" s="1226"/>
      <c r="O46" s="1226"/>
      <c r="P46" s="1226"/>
      <c r="Q46" s="1226"/>
      <c r="R46" s="1226"/>
      <c r="S46" s="251"/>
      <c r="T46" s="251"/>
      <c r="U46" s="251"/>
      <c r="V46" s="251"/>
      <c r="W46" s="1227"/>
      <c r="Y46" s="1196"/>
      <c r="Z46" s="1196"/>
      <c r="AA46" s="1196"/>
      <c r="AB46" s="1196"/>
      <c r="AC46" s="1196"/>
      <c r="AD46" s="1196"/>
      <c r="AE46" s="1196"/>
      <c r="AF46" s="1196"/>
      <c r="AG46" s="1196"/>
      <c r="AH46" s="1196"/>
      <c r="AI46" s="1196"/>
      <c r="AJ46" s="1196"/>
      <c r="AK46" s="1196"/>
      <c r="AL46" s="1196"/>
      <c r="AM46" s="1196"/>
      <c r="AN46" s="1196"/>
      <c r="AO46" s="1196"/>
      <c r="AP46" s="1196"/>
      <c r="AQ46" s="1196"/>
    </row>
    <row r="47" spans="1:43" s="1781" customFormat="1" ht="17.25" hidden="1" customHeight="1">
      <c r="A47" s="240"/>
      <c r="C47" s="239"/>
      <c r="D47" s="1883"/>
      <c r="E47" s="1886"/>
      <c r="F47" s="1866"/>
      <c r="G47" s="1886"/>
      <c r="H47" s="1228"/>
      <c r="I47" s="1229"/>
      <c r="J47" s="1229"/>
      <c r="K47" s="1229"/>
      <c r="L47" s="1229"/>
      <c r="M47" s="1229"/>
      <c r="N47" s="1229"/>
      <c r="O47" s="1229"/>
      <c r="P47" s="1229"/>
      <c r="Q47" s="1229"/>
      <c r="R47" s="1229"/>
      <c r="S47" s="1230"/>
      <c r="T47" s="1230"/>
      <c r="U47" s="1230"/>
      <c r="V47" s="1230"/>
      <c r="W47" s="1231"/>
      <c r="X47" s="1189"/>
      <c r="Y47" s="1189"/>
      <c r="Z47" s="1189"/>
      <c r="AA47" s="1189"/>
      <c r="AB47" s="1189"/>
      <c r="AC47" s="1189"/>
      <c r="AD47" s="1189"/>
      <c r="AE47" s="1189"/>
      <c r="AF47" s="1189"/>
      <c r="AG47" s="1189"/>
      <c r="AH47" s="1189"/>
      <c r="AI47" s="1189"/>
      <c r="AJ47" s="1189"/>
      <c r="AK47" s="1189"/>
      <c r="AL47" s="1189"/>
      <c r="AM47" s="1189"/>
      <c r="AN47" s="1189"/>
      <c r="AO47" s="1189"/>
      <c r="AP47" s="1189"/>
      <c r="AQ47" s="1189"/>
    </row>
    <row r="48" spans="1:43" s="1781" customFormat="1" ht="17.25" hidden="1" customHeight="1">
      <c r="A48" s="240"/>
      <c r="C48" s="126"/>
      <c r="D48" s="1860">
        <v>8</v>
      </c>
      <c r="E48" s="1862" t="s">
        <v>192</v>
      </c>
      <c r="F48" s="1864" t="s">
        <v>56</v>
      </c>
      <c r="G48" s="1862"/>
      <c r="H48" s="1867"/>
      <c r="I48" s="1869"/>
      <c r="J48" s="1871"/>
      <c r="K48" s="1858"/>
      <c r="L48" s="1858"/>
      <c r="M48" s="1858"/>
      <c r="N48" s="1874"/>
      <c r="O48" s="1858"/>
      <c r="P48" s="1858"/>
      <c r="Q48" s="1858"/>
      <c r="R48" s="1877"/>
      <c r="S48" s="1858"/>
      <c r="T48" s="1391"/>
      <c r="U48" s="1391"/>
      <c r="V48" s="1393"/>
      <c r="W48" s="1225"/>
      <c r="X48" s="1196"/>
      <c r="Y48" s="1196"/>
      <c r="Z48" s="1196"/>
      <c r="AA48" s="1196"/>
      <c r="AB48" s="1196"/>
      <c r="AC48" s="1196" t="s">
        <v>193</v>
      </c>
      <c r="AD48" s="1196" t="s">
        <v>194</v>
      </c>
      <c r="AE48" s="1196" t="s">
        <v>195</v>
      </c>
      <c r="AF48" s="1196" t="s">
        <v>196</v>
      </c>
      <c r="AG48" s="1196" t="s">
        <v>197</v>
      </c>
      <c r="AH48" s="1196" t="str">
        <f>IF($E$48=0,"",$E$48)</f>
        <v>Плата за подключение (технологическое присоединение) к системе теплоснабжения</v>
      </c>
      <c r="AI48" s="1196" t="str">
        <f>IF($G$48=0,"",$G$48)</f>
        <v/>
      </c>
      <c r="AJ48" s="1196" t="str">
        <f>IF($J$48=0,"",$J$48)</f>
        <v/>
      </c>
      <c r="AK48" s="1196" t="str">
        <f>IF($K$48="нет","без дифференциации",IF($N$48=0,"",$N$48))</f>
        <v/>
      </c>
      <c r="AL48" s="1196" t="str">
        <f>IF($O$48="нет","без дифференциации",IF($R$48=0,"",$R$48))</f>
        <v/>
      </c>
      <c r="AM48" s="1196" t="str">
        <f>IF($S$48="нет","без дифференциации",IF($V$48=0,"",$V$48))</f>
        <v/>
      </c>
      <c r="AN48" s="1699">
        <f>$I$48</f>
        <v>0</v>
      </c>
      <c r="AO48" s="1196" t="str">
        <f>$I$48&amp;"."&amp;$M$48</f>
        <v>.</v>
      </c>
      <c r="AP48" s="1189" t="str">
        <f>$I$48&amp;"."&amp;$M$48&amp;"."&amp;$Q$48</f>
        <v>..</v>
      </c>
      <c r="AQ48" s="1189" t="str">
        <f>$I$48&amp;"."&amp;$M$48&amp;"."&amp;$Q$48&amp;"."&amp;$U$48</f>
        <v>...</v>
      </c>
    </row>
    <row r="49" spans="1:43" s="1781" customFormat="1" ht="17.25" hidden="1" customHeight="1">
      <c r="A49" s="240"/>
      <c r="C49" s="239"/>
      <c r="D49" s="1860"/>
      <c r="E49" s="1862"/>
      <c r="F49" s="1865"/>
      <c r="G49" s="1862"/>
      <c r="H49" s="1868"/>
      <c r="I49" s="1870"/>
      <c r="J49" s="1872"/>
      <c r="K49" s="1859"/>
      <c r="L49" s="1859"/>
      <c r="M49" s="1859"/>
      <c r="N49" s="1875"/>
      <c r="O49" s="1859"/>
      <c r="P49" s="1859"/>
      <c r="Q49" s="1859"/>
      <c r="R49" s="1876"/>
      <c r="S49" s="1859"/>
      <c r="T49" s="1226"/>
      <c r="U49" s="1226"/>
      <c r="V49" s="1226"/>
      <c r="W49" s="1227"/>
      <c r="X49" s="1189"/>
      <c r="Y49" s="1189"/>
      <c r="Z49" s="1189"/>
      <c r="AA49" s="1189"/>
      <c r="AB49" s="1189"/>
      <c r="AC49" s="1189"/>
      <c r="AD49" s="1189"/>
      <c r="AE49" s="1189"/>
      <c r="AF49" s="1189"/>
      <c r="AG49" s="1189"/>
      <c r="AH49" s="1189"/>
      <c r="AI49" s="1189"/>
      <c r="AJ49" s="1189"/>
      <c r="AK49" s="1189"/>
      <c r="AL49" s="1189"/>
      <c r="AM49" s="1189"/>
      <c r="AN49" s="1189"/>
      <c r="AO49" s="1189"/>
      <c r="AP49" s="1189"/>
      <c r="AQ49" s="1189"/>
    </row>
    <row r="50" spans="1:43" s="1781" customFormat="1" ht="17.25" hidden="1" customHeight="1">
      <c r="A50" s="240"/>
      <c r="C50" s="239"/>
      <c r="D50" s="1861"/>
      <c r="E50" s="1863"/>
      <c r="F50" s="1865"/>
      <c r="G50" s="1863"/>
      <c r="H50" s="1868"/>
      <c r="I50" s="1870"/>
      <c r="J50" s="1873"/>
      <c r="K50" s="1859"/>
      <c r="L50" s="1859"/>
      <c r="M50" s="1859"/>
      <c r="N50" s="1876"/>
      <c r="O50" s="1859"/>
      <c r="P50" s="1392"/>
      <c r="Q50" s="1226"/>
      <c r="R50" s="1226"/>
      <c r="S50" s="251"/>
      <c r="T50" s="251"/>
      <c r="U50" s="251"/>
      <c r="V50" s="251"/>
      <c r="W50" s="1227"/>
      <c r="X50" s="1189"/>
      <c r="Y50" s="1189"/>
      <c r="Z50" s="1189"/>
      <c r="AA50" s="1189"/>
      <c r="AB50" s="1189"/>
      <c r="AC50" s="1189"/>
      <c r="AD50" s="1189"/>
      <c r="AE50" s="1189"/>
      <c r="AF50" s="1189"/>
      <c r="AG50" s="1189"/>
      <c r="AH50" s="1189"/>
      <c r="AI50" s="1189"/>
      <c r="AJ50" s="1189"/>
      <c r="AK50" s="1189"/>
      <c r="AL50" s="1189"/>
      <c r="AM50" s="1189"/>
      <c r="AN50" s="1189"/>
      <c r="AO50" s="1189"/>
      <c r="AP50" s="1189"/>
      <c r="AQ50" s="1189"/>
    </row>
    <row r="51" spans="1:43" s="1781" customFormat="1" ht="17.25" hidden="1" customHeight="1">
      <c r="A51" s="240"/>
      <c r="C51" s="126"/>
      <c r="D51" s="1861"/>
      <c r="E51" s="1863"/>
      <c r="F51" s="1865"/>
      <c r="G51" s="1863"/>
      <c r="H51" s="1868"/>
      <c r="I51" s="1870"/>
      <c r="J51" s="1873"/>
      <c r="K51" s="1859"/>
      <c r="L51" s="1226"/>
      <c r="M51" s="1226"/>
      <c r="N51" s="1226"/>
      <c r="O51" s="1226"/>
      <c r="P51" s="1226"/>
      <c r="Q51" s="1226"/>
      <c r="R51" s="1226"/>
      <c r="S51" s="251"/>
      <c r="T51" s="251"/>
      <c r="U51" s="251"/>
      <c r="V51" s="251"/>
      <c r="W51" s="1227"/>
      <c r="Y51" s="1196"/>
      <c r="Z51" s="1196"/>
      <c r="AA51" s="1196"/>
      <c r="AB51" s="1196"/>
      <c r="AC51" s="1196"/>
      <c r="AD51" s="1196"/>
      <c r="AE51" s="1196"/>
      <c r="AF51" s="1196"/>
      <c r="AG51" s="1196"/>
      <c r="AH51" s="1196"/>
      <c r="AI51" s="1196"/>
      <c r="AJ51" s="1196"/>
      <c r="AK51" s="1196"/>
      <c r="AL51" s="1196"/>
      <c r="AM51" s="1196"/>
      <c r="AN51" s="1196"/>
      <c r="AO51" s="1196"/>
      <c r="AP51" s="1196"/>
      <c r="AQ51" s="1196"/>
    </row>
    <row r="52" spans="1:43" s="1781" customFormat="1" ht="17.25" hidden="1" customHeight="1">
      <c r="A52" s="240"/>
      <c r="C52" s="239"/>
      <c r="D52" s="1861"/>
      <c r="E52" s="1863"/>
      <c r="F52" s="1866"/>
      <c r="G52" s="1863"/>
      <c r="H52" s="1228"/>
      <c r="I52" s="1229"/>
      <c r="J52" s="1229"/>
      <c r="K52" s="1229"/>
      <c r="L52" s="1229"/>
      <c r="M52" s="1229"/>
      <c r="N52" s="1229"/>
      <c r="O52" s="1229"/>
      <c r="P52" s="1229"/>
      <c r="Q52" s="1229"/>
      <c r="R52" s="1229"/>
      <c r="S52" s="1230"/>
      <c r="T52" s="1230"/>
      <c r="U52" s="1230"/>
      <c r="V52" s="1230"/>
      <c r="W52" s="1231"/>
      <c r="X52" s="1189"/>
      <c r="Y52" s="1189"/>
      <c r="Z52" s="1189"/>
      <c r="AA52" s="1189"/>
      <c r="AB52" s="1189"/>
      <c r="AC52" s="1189"/>
      <c r="AD52" s="1189"/>
      <c r="AE52" s="1189"/>
      <c r="AF52" s="1189"/>
      <c r="AG52" s="1189"/>
      <c r="AH52" s="1189"/>
      <c r="AI52" s="1189"/>
      <c r="AJ52" s="1189"/>
      <c r="AK52" s="1189"/>
      <c r="AL52" s="1189"/>
      <c r="AM52" s="1189"/>
      <c r="AN52" s="1189"/>
      <c r="AO52" s="1189"/>
      <c r="AP52" s="1189"/>
      <c r="AQ52" s="1189"/>
    </row>
    <row r="53" spans="1:43" ht="11.25" hidden="1" customHeight="1"/>
    <row r="54" spans="1:43" ht="11.25" hidden="1" customHeight="1">
      <c r="E54" s="1880" t="s">
        <v>198</v>
      </c>
      <c r="F54" s="1880"/>
      <c r="G54" s="1880"/>
      <c r="H54" s="1880"/>
      <c r="I54" s="1880"/>
      <c r="J54" s="1880"/>
      <c r="K54" s="1880"/>
      <c r="L54" s="1880"/>
      <c r="M54" s="1880"/>
      <c r="N54" s="1880"/>
      <c r="O54" s="1880"/>
      <c r="P54" s="1880"/>
      <c r="Q54" s="1880"/>
      <c r="R54" s="1880"/>
      <c r="S54" s="1880"/>
      <c r="T54" s="1880"/>
      <c r="U54" s="1880"/>
      <c r="V54" s="1880"/>
      <c r="W54" s="1880"/>
    </row>
    <row r="55" spans="1:43" ht="36.75" hidden="1" customHeight="1">
      <c r="E55" s="1878" t="s">
        <v>199</v>
      </c>
      <c r="F55" s="1878"/>
      <c r="G55" s="1879"/>
      <c r="H55" s="1879"/>
      <c r="I55" s="1879"/>
      <c r="J55" s="1879"/>
      <c r="K55" s="1879"/>
      <c r="L55" s="1879"/>
      <c r="M55" s="1879"/>
      <c r="N55" s="1879"/>
      <c r="O55" s="1879"/>
      <c r="P55" s="1879"/>
      <c r="Q55" s="1879"/>
      <c r="R55" s="1879"/>
      <c r="S55" s="1879"/>
      <c r="T55" s="1879"/>
      <c r="U55" s="1879"/>
      <c r="V55" s="1879"/>
      <c r="W55" s="1879"/>
    </row>
    <row r="56" spans="1:43" ht="28.5" hidden="1" customHeight="1">
      <c r="E56" s="1878" t="s">
        <v>200</v>
      </c>
      <c r="F56" s="1878"/>
      <c r="G56" s="1879"/>
      <c r="H56" s="1879"/>
      <c r="I56" s="1879"/>
      <c r="J56" s="1879"/>
      <c r="K56" s="1879"/>
      <c r="L56" s="1879"/>
      <c r="M56" s="1879"/>
      <c r="N56" s="1879"/>
      <c r="O56" s="1879"/>
      <c r="P56" s="1879"/>
      <c r="Q56" s="1879"/>
      <c r="R56" s="1879"/>
      <c r="S56" s="1879"/>
      <c r="T56" s="1879"/>
      <c r="U56" s="1879"/>
      <c r="V56" s="1879"/>
      <c r="W56" s="1879"/>
    </row>
    <row r="57" spans="1:43" ht="27" hidden="1" customHeight="1">
      <c r="E57" s="1878" t="s">
        <v>201</v>
      </c>
      <c r="F57" s="1878"/>
      <c r="G57" s="1879"/>
      <c r="H57" s="1879"/>
      <c r="I57" s="1879"/>
      <c r="J57" s="1879"/>
      <c r="K57" s="1879"/>
      <c r="L57" s="1879"/>
      <c r="M57" s="1879"/>
      <c r="N57" s="1879"/>
      <c r="O57" s="1879"/>
      <c r="P57" s="1879"/>
      <c r="Q57" s="1879"/>
      <c r="R57" s="1879"/>
      <c r="S57" s="1879"/>
      <c r="T57" s="1879"/>
      <c r="U57" s="1879"/>
      <c r="V57" s="1879"/>
      <c r="W57" s="1879"/>
    </row>
    <row r="58" spans="1:43" ht="17.25" hidden="1" customHeight="1">
      <c r="E58" s="1878" t="s">
        <v>202</v>
      </c>
      <c r="F58" s="1878"/>
      <c r="G58" s="1879"/>
      <c r="H58" s="1879"/>
      <c r="I58" s="1879"/>
      <c r="J58" s="1879"/>
      <c r="K58" s="1879"/>
      <c r="L58" s="1879"/>
      <c r="M58" s="1879"/>
      <c r="N58" s="1879"/>
      <c r="O58" s="1879"/>
      <c r="P58" s="1879"/>
      <c r="Q58" s="1879"/>
      <c r="R58" s="1879"/>
      <c r="S58" s="1879"/>
      <c r="T58" s="1879"/>
      <c r="U58" s="1879"/>
      <c r="V58" s="1879"/>
      <c r="W58" s="1879"/>
    </row>
    <row r="59" spans="1:43" ht="15" hidden="1" customHeight="1">
      <c r="E59" s="262"/>
      <c r="F59" s="1214"/>
      <c r="G59" s="75"/>
      <c r="H59" s="75"/>
      <c r="I59" s="75"/>
      <c r="J59" s="75"/>
      <c r="K59" s="75"/>
      <c r="L59" s="75"/>
      <c r="M59" s="75"/>
      <c r="N59" s="75"/>
      <c r="O59" s="75"/>
      <c r="P59" s="75"/>
      <c r="Q59" s="75"/>
      <c r="R59" s="75"/>
      <c r="S59" s="75"/>
      <c r="T59" s="75"/>
      <c r="U59" s="75"/>
      <c r="V59" s="75"/>
      <c r="W59" s="75"/>
    </row>
    <row r="60" spans="1:43" ht="15" hidden="1" customHeight="1">
      <c r="E60" s="1880" t="s">
        <v>203</v>
      </c>
      <c r="F60" s="1880"/>
      <c r="G60" s="1880"/>
      <c r="H60" s="1880"/>
      <c r="I60" s="1880"/>
      <c r="J60" s="1880"/>
      <c r="K60" s="1880"/>
      <c r="L60" s="1880"/>
      <c r="M60" s="1880"/>
      <c r="N60" s="1880"/>
      <c r="O60" s="1880"/>
      <c r="P60" s="1880"/>
      <c r="Q60" s="1880"/>
      <c r="R60" s="1880"/>
      <c r="S60" s="1880"/>
      <c r="T60" s="1880"/>
      <c r="U60" s="1880"/>
      <c r="V60" s="1880"/>
      <c r="W60" s="1880"/>
    </row>
    <row r="61" spans="1:43" ht="17.25" hidden="1" customHeight="1">
      <c r="E61" s="1878" t="s">
        <v>204</v>
      </c>
      <c r="F61" s="1878"/>
      <c r="G61" s="1879"/>
      <c r="H61" s="1879"/>
      <c r="I61" s="1879"/>
      <c r="J61" s="1879"/>
      <c r="K61" s="1879"/>
      <c r="L61" s="1879"/>
      <c r="M61" s="1879"/>
      <c r="N61" s="1879"/>
      <c r="O61" s="1879"/>
      <c r="P61" s="1879"/>
      <c r="Q61" s="1879"/>
      <c r="R61" s="1879"/>
      <c r="S61" s="1879"/>
      <c r="T61" s="1879"/>
      <c r="U61" s="1879"/>
      <c r="V61" s="1879"/>
      <c r="W61" s="1879"/>
    </row>
    <row r="62" spans="1:43" ht="17.25" hidden="1" customHeight="1">
      <c r="E62" s="1878" t="s">
        <v>205</v>
      </c>
      <c r="F62" s="1878"/>
      <c r="G62" s="1879"/>
      <c r="H62" s="1879"/>
      <c r="I62" s="1879"/>
      <c r="J62" s="1879"/>
      <c r="K62" s="1879"/>
      <c r="L62" s="1879"/>
      <c r="M62" s="1879"/>
      <c r="N62" s="1879"/>
      <c r="O62" s="1879"/>
      <c r="P62" s="1879"/>
      <c r="Q62" s="1879"/>
      <c r="R62" s="1879"/>
      <c r="S62" s="1879"/>
      <c r="T62" s="1879"/>
      <c r="U62" s="1879"/>
      <c r="V62" s="1879"/>
      <c r="W62" s="1879"/>
    </row>
    <row r="63" spans="1:43" s="1781" customFormat="1" ht="11.25" customHeight="1">
      <c r="A63" s="191"/>
      <c r="B63" s="191"/>
      <c r="Y63" s="1189"/>
      <c r="Z63" s="1189"/>
      <c r="AA63" s="1189"/>
      <c r="AB63" s="1189"/>
      <c r="AC63" s="1189"/>
      <c r="AD63" s="1189"/>
      <c r="AE63" s="1189"/>
      <c r="AF63" s="1189"/>
      <c r="AG63" s="1189"/>
      <c r="AH63" s="1189"/>
      <c r="AI63" s="1189"/>
      <c r="AJ63" s="1189"/>
      <c r="AK63" s="1189"/>
      <c r="AL63" s="1189"/>
      <c r="AM63" s="1189"/>
      <c r="AN63" s="1189"/>
      <c r="AO63" s="1189"/>
      <c r="AP63" s="1189"/>
      <c r="AQ63" s="1189"/>
    </row>
    <row r="64" spans="1:43" s="1781" customFormat="1" ht="17.25" hidden="1" customHeight="1">
      <c r="A64" s="240"/>
      <c r="C64" s="126"/>
      <c r="D64" s="1860">
        <v>1</v>
      </c>
      <c r="E64" s="1862" t="s">
        <v>206</v>
      </c>
      <c r="F64" s="1864" t="s">
        <v>56</v>
      </c>
      <c r="G64" s="1862"/>
      <c r="H64" s="1867"/>
      <c r="I64" s="1869"/>
      <c r="J64" s="1871"/>
      <c r="K64" s="1858"/>
      <c r="L64" s="1858"/>
      <c r="M64" s="1858"/>
      <c r="N64" s="1874"/>
      <c r="O64" s="1858"/>
      <c r="P64" s="1858"/>
      <c r="Q64" s="1858"/>
      <c r="R64" s="1877"/>
      <c r="S64" s="1858"/>
      <c r="T64" s="1391"/>
      <c r="U64" s="1391"/>
      <c r="V64" s="1393"/>
      <c r="W64" s="1225"/>
      <c r="Y64" s="1196"/>
      <c r="Z64" s="1196"/>
      <c r="AA64" s="1196"/>
      <c r="AB64" s="1196"/>
      <c r="AC64" s="1196" t="s">
        <v>207</v>
      </c>
      <c r="AD64" s="1196" t="s">
        <v>208</v>
      </c>
      <c r="AE64" s="1196" t="s">
        <v>209</v>
      </c>
      <c r="AF64" s="1196" t="s">
        <v>210</v>
      </c>
      <c r="AG64" s="1196"/>
      <c r="AH64" s="1196" t="str">
        <f>IF($E$64=0,"",$E$64)</f>
        <v>Тариф на питьевую воду (питьевое водоснабжение)</v>
      </c>
      <c r="AI64" s="1196" t="str">
        <f>IF($G$64=0,"",$G$64)</f>
        <v/>
      </c>
      <c r="AJ64" s="1196" t="str">
        <f>IF($J$64=0,"",$J$64)</f>
        <v/>
      </c>
      <c r="AK64" s="1196" t="str">
        <f>IF($K$64="нет","без дифференциации",IF($N$64=0,"",$N$64))</f>
        <v/>
      </c>
      <c r="AL64" s="1196" t="str">
        <f>IF($O$64="нет","без дифференциации",IF($R$64=0,"",$R$64))</f>
        <v/>
      </c>
      <c r="AM64" s="1196" t="str">
        <f>IF($S$64="нет","без дифференциации",IF($V$64=0,"",$V$64))</f>
        <v/>
      </c>
      <c r="AN64" s="1196">
        <f>$I$64</f>
        <v>0</v>
      </c>
      <c r="AO64" s="1196" t="str">
        <f>$I$64&amp;"."&amp;$M$64</f>
        <v>.</v>
      </c>
      <c r="AP64" s="1196" t="str">
        <f>$I$64&amp;"."&amp;$M$64&amp;"."&amp;$Q$64</f>
        <v>..</v>
      </c>
      <c r="AQ64" s="1196" t="str">
        <f>$I$64&amp;"."&amp;$M$64&amp;"."&amp;$Q$64&amp;"."&amp;$U$64</f>
        <v>...</v>
      </c>
    </row>
    <row r="65" spans="1:43" s="1781" customFormat="1" ht="17.25" hidden="1" customHeight="1">
      <c r="A65" s="240"/>
      <c r="C65" s="239"/>
      <c r="D65" s="1860"/>
      <c r="E65" s="1862"/>
      <c r="F65" s="1865"/>
      <c r="G65" s="1862"/>
      <c r="H65" s="1868"/>
      <c r="I65" s="1870"/>
      <c r="J65" s="1872"/>
      <c r="K65" s="1859"/>
      <c r="L65" s="1859"/>
      <c r="M65" s="1859"/>
      <c r="N65" s="1875"/>
      <c r="O65" s="1859"/>
      <c r="P65" s="1859"/>
      <c r="Q65" s="1859"/>
      <c r="R65" s="1876"/>
      <c r="S65" s="1859"/>
      <c r="T65" s="1226"/>
      <c r="U65" s="1226"/>
      <c r="V65" s="1226"/>
      <c r="W65" s="1227"/>
      <c r="Y65" s="1189"/>
      <c r="Z65" s="1189"/>
      <c r="AA65" s="1189"/>
      <c r="AB65" s="1189"/>
      <c r="AC65" s="1189"/>
      <c r="AD65" s="1189"/>
      <c r="AE65" s="1189"/>
      <c r="AF65" s="1189"/>
      <c r="AG65" s="1189"/>
      <c r="AH65" s="1189"/>
      <c r="AI65" s="1189"/>
      <c r="AJ65" s="1189"/>
      <c r="AK65" s="1189"/>
      <c r="AL65" s="1189"/>
      <c r="AM65" s="1189"/>
      <c r="AN65" s="1189"/>
      <c r="AO65" s="1189"/>
      <c r="AP65" s="1189"/>
      <c r="AQ65" s="1189"/>
    </row>
    <row r="66" spans="1:43" s="1781" customFormat="1" ht="17.25" hidden="1" customHeight="1">
      <c r="A66" s="240"/>
      <c r="C66" s="126"/>
      <c r="D66" s="1860"/>
      <c r="E66" s="1862"/>
      <c r="F66" s="1865"/>
      <c r="G66" s="1862"/>
      <c r="H66" s="1868"/>
      <c r="I66" s="1870"/>
      <c r="J66" s="1873"/>
      <c r="K66" s="1859"/>
      <c r="L66" s="1859"/>
      <c r="M66" s="1859"/>
      <c r="N66" s="1876"/>
      <c r="O66" s="1859"/>
      <c r="P66" s="1392"/>
      <c r="Q66" s="1226"/>
      <c r="R66" s="1226"/>
      <c r="S66" s="251"/>
      <c r="T66" s="251"/>
      <c r="U66" s="251"/>
      <c r="V66" s="251"/>
      <c r="W66" s="1227"/>
      <c r="Y66" s="1196"/>
      <c r="Z66" s="1196"/>
      <c r="AA66" s="1196"/>
      <c r="AB66" s="1196"/>
      <c r="AC66" s="1196"/>
      <c r="AD66" s="1196"/>
      <c r="AE66" s="1196"/>
      <c r="AF66" s="1196"/>
      <c r="AG66" s="1196"/>
      <c r="AH66" s="1196"/>
      <c r="AI66" s="1196"/>
      <c r="AJ66" s="1196"/>
      <c r="AK66" s="1196"/>
      <c r="AL66" s="1196"/>
      <c r="AM66" s="1196"/>
      <c r="AN66" s="1196"/>
      <c r="AO66" s="1196"/>
      <c r="AP66" s="1196"/>
      <c r="AQ66" s="1196"/>
    </row>
    <row r="67" spans="1:43" s="1781" customFormat="1" ht="17.25" hidden="1" customHeight="1">
      <c r="A67" s="240"/>
      <c r="C67" s="239"/>
      <c r="D67" s="1860"/>
      <c r="E67" s="1862"/>
      <c r="F67" s="1865"/>
      <c r="G67" s="1862"/>
      <c r="H67" s="1868"/>
      <c r="I67" s="1870"/>
      <c r="J67" s="1873"/>
      <c r="K67" s="1859"/>
      <c r="L67" s="1226"/>
      <c r="M67" s="1226"/>
      <c r="N67" s="1226"/>
      <c r="O67" s="1226"/>
      <c r="P67" s="1226"/>
      <c r="Q67" s="1226"/>
      <c r="R67" s="1226"/>
      <c r="S67" s="251"/>
      <c r="T67" s="251"/>
      <c r="U67" s="251"/>
      <c r="V67" s="251"/>
      <c r="W67" s="1227"/>
      <c r="Y67" s="1189"/>
      <c r="Z67" s="1189"/>
      <c r="AA67" s="1189"/>
      <c r="AB67" s="1189"/>
      <c r="AC67" s="1189"/>
      <c r="AD67" s="1189"/>
      <c r="AE67" s="1189"/>
      <c r="AF67" s="1189"/>
      <c r="AG67" s="1189"/>
      <c r="AH67" s="1189"/>
      <c r="AI67" s="1189"/>
      <c r="AJ67" s="1189"/>
      <c r="AK67" s="1189"/>
      <c r="AL67" s="1189"/>
      <c r="AM67" s="1189"/>
      <c r="AN67" s="1189"/>
      <c r="AO67" s="1189"/>
      <c r="AP67" s="1189"/>
      <c r="AQ67" s="1189"/>
    </row>
    <row r="68" spans="1:43" s="1781" customFormat="1" ht="17.25" hidden="1" customHeight="1">
      <c r="A68" s="240"/>
      <c r="C68" s="239"/>
      <c r="D68" s="1861"/>
      <c r="E68" s="1863"/>
      <c r="F68" s="1866"/>
      <c r="G68" s="1863"/>
      <c r="H68" s="1228"/>
      <c r="I68" s="1229"/>
      <c r="J68" s="1229"/>
      <c r="K68" s="1229"/>
      <c r="L68" s="1229"/>
      <c r="M68" s="1229"/>
      <c r="N68" s="1229"/>
      <c r="O68" s="1229"/>
      <c r="P68" s="1229"/>
      <c r="Q68" s="1229"/>
      <c r="R68" s="1229"/>
      <c r="S68" s="1230"/>
      <c r="T68" s="1230"/>
      <c r="U68" s="1230"/>
      <c r="V68" s="1230"/>
      <c r="W68" s="1231"/>
      <c r="Y68" s="1189"/>
      <c r="Z68" s="1189"/>
      <c r="AA68" s="1189"/>
      <c r="AB68" s="1189"/>
      <c r="AC68" s="1189"/>
      <c r="AD68" s="1189"/>
      <c r="AE68" s="1189"/>
      <c r="AF68" s="1189"/>
      <c r="AG68" s="1189"/>
      <c r="AH68" s="1189"/>
      <c r="AI68" s="1189"/>
      <c r="AJ68" s="1189"/>
      <c r="AK68" s="1189"/>
      <c r="AL68" s="1189"/>
      <c r="AM68" s="1189"/>
      <c r="AN68" s="1189"/>
      <c r="AO68" s="1189"/>
      <c r="AP68" s="1189"/>
      <c r="AQ68" s="1189"/>
    </row>
    <row r="69" spans="1:43" s="1781" customFormat="1" ht="17.25" hidden="1" customHeight="1">
      <c r="A69" s="240"/>
      <c r="C69" s="126"/>
      <c r="D69" s="1860">
        <v>2</v>
      </c>
      <c r="E69" s="1862" t="s">
        <v>211</v>
      </c>
      <c r="F69" s="1864" t="s">
        <v>56</v>
      </c>
      <c r="G69" s="1862"/>
      <c r="H69" s="1867"/>
      <c r="I69" s="1869"/>
      <c r="J69" s="1871"/>
      <c r="K69" s="1858"/>
      <c r="L69" s="1858"/>
      <c r="M69" s="1858"/>
      <c r="N69" s="1874"/>
      <c r="O69" s="1858"/>
      <c r="P69" s="1858"/>
      <c r="Q69" s="1858"/>
      <c r="R69" s="1877"/>
      <c r="S69" s="1858"/>
      <c r="T69" s="1367"/>
      <c r="U69" s="1367"/>
      <c r="V69" s="1369"/>
      <c r="W69" s="1225"/>
      <c r="X69" s="1196"/>
      <c r="Y69" s="1196"/>
      <c r="Z69" s="1196"/>
      <c r="AA69" s="1196"/>
      <c r="AB69" s="1196"/>
      <c r="AC69" s="1196" t="s">
        <v>212</v>
      </c>
      <c r="AD69" s="1196" t="s">
        <v>213</v>
      </c>
      <c r="AE69" s="1196" t="s">
        <v>214</v>
      </c>
      <c r="AF69" s="1196" t="s">
        <v>215</v>
      </c>
      <c r="AG69" s="1196"/>
      <c r="AH69" s="1196" t="str">
        <f>IF($E$69=0,"",$E$69)</f>
        <v>Тариф на техническую воду</v>
      </c>
      <c r="AI69" s="1196" t="str">
        <f>IF($G$69=0,"",$G$69)</f>
        <v/>
      </c>
      <c r="AJ69" s="1196" t="str">
        <f>IF($J$69=0,"",$J$69)</f>
        <v/>
      </c>
      <c r="AK69" s="1196" t="str">
        <f>IF($K$69="нет","без дифференциации",IF($N$69=0,"",$N$69))</f>
        <v/>
      </c>
      <c r="AL69" s="1196" t="str">
        <f>IF($O$69="нет","без дифференциации",IF($R$69=0,"",$R$69))</f>
        <v/>
      </c>
      <c r="AM69" s="1196" t="str">
        <f>IF($S$69="нет","без дифференциации",IF($V$69=0,"",$V$69))</f>
        <v/>
      </c>
      <c r="AN69" s="1699">
        <f>$I$69</f>
        <v>0</v>
      </c>
      <c r="AO69" s="1196" t="str">
        <f>$I$69&amp;"."&amp;$M$69</f>
        <v>.</v>
      </c>
      <c r="AP69" s="1189" t="str">
        <f>$I$69&amp;"."&amp;$M$69&amp;"."&amp;$Q$69</f>
        <v>..</v>
      </c>
      <c r="AQ69" s="1189" t="str">
        <f>$I$69&amp;"."&amp;$M$69&amp;"."&amp;$Q$69&amp;"."&amp;$U$69</f>
        <v>...</v>
      </c>
    </row>
    <row r="70" spans="1:43" s="1781" customFormat="1" ht="17.25" hidden="1" customHeight="1">
      <c r="A70" s="240"/>
      <c r="C70" s="239"/>
      <c r="D70" s="1860"/>
      <c r="E70" s="1862"/>
      <c r="F70" s="1865"/>
      <c r="G70" s="1862"/>
      <c r="H70" s="1868"/>
      <c r="I70" s="1870"/>
      <c r="J70" s="1872"/>
      <c r="K70" s="1859"/>
      <c r="L70" s="1859"/>
      <c r="M70" s="1859"/>
      <c r="N70" s="1875"/>
      <c r="O70" s="1859"/>
      <c r="P70" s="1859"/>
      <c r="Q70" s="1859"/>
      <c r="R70" s="1876"/>
      <c r="S70" s="1859"/>
      <c r="T70" s="1226"/>
      <c r="U70" s="1226"/>
      <c r="V70" s="1226"/>
      <c r="W70" s="1227"/>
      <c r="X70" s="1189"/>
      <c r="Y70" s="1189"/>
      <c r="Z70" s="1189"/>
      <c r="AA70" s="1189"/>
      <c r="AB70" s="1189"/>
      <c r="AC70" s="1189"/>
      <c r="AD70" s="1189"/>
      <c r="AE70" s="1189"/>
      <c r="AF70" s="1189"/>
      <c r="AG70" s="1189"/>
      <c r="AH70" s="1189"/>
      <c r="AI70" s="1189"/>
      <c r="AJ70" s="1189"/>
      <c r="AK70" s="1189"/>
      <c r="AL70" s="1189"/>
      <c r="AM70" s="1189"/>
      <c r="AN70" s="1189"/>
      <c r="AO70" s="1189"/>
      <c r="AP70" s="1189"/>
      <c r="AQ70" s="1189"/>
    </row>
    <row r="71" spans="1:43" s="1781" customFormat="1" ht="17.25" hidden="1" customHeight="1">
      <c r="A71" s="240"/>
      <c r="C71" s="239"/>
      <c r="D71" s="1861"/>
      <c r="E71" s="1863"/>
      <c r="F71" s="1865"/>
      <c r="G71" s="1863"/>
      <c r="H71" s="1868"/>
      <c r="I71" s="1870"/>
      <c r="J71" s="1873"/>
      <c r="K71" s="1859"/>
      <c r="L71" s="1859"/>
      <c r="M71" s="1859"/>
      <c r="N71" s="1876"/>
      <c r="O71" s="1859"/>
      <c r="P71" s="1368"/>
      <c r="Q71" s="1226"/>
      <c r="R71" s="1226"/>
      <c r="S71" s="251"/>
      <c r="T71" s="251"/>
      <c r="U71" s="251"/>
      <c r="V71" s="251"/>
      <c r="W71" s="1227"/>
      <c r="X71" s="1189"/>
      <c r="Y71" s="1189"/>
      <c r="Z71" s="1189"/>
      <c r="AA71" s="1189"/>
      <c r="AB71" s="1189"/>
      <c r="AC71" s="1189"/>
      <c r="AD71" s="1189"/>
      <c r="AE71" s="1189"/>
      <c r="AF71" s="1189"/>
      <c r="AG71" s="1189"/>
      <c r="AH71" s="1189"/>
      <c r="AI71" s="1189"/>
      <c r="AJ71" s="1189"/>
      <c r="AK71" s="1189"/>
      <c r="AL71" s="1189"/>
      <c r="AM71" s="1189"/>
      <c r="AN71" s="1189"/>
      <c r="AO71" s="1189"/>
      <c r="AP71" s="1189"/>
      <c r="AQ71" s="1189"/>
    </row>
    <row r="72" spans="1:43" s="1781" customFormat="1" ht="17.25" hidden="1" customHeight="1">
      <c r="A72" s="240"/>
      <c r="C72" s="239"/>
      <c r="D72" s="1861"/>
      <c r="E72" s="1863"/>
      <c r="F72" s="1865"/>
      <c r="G72" s="1863"/>
      <c r="H72" s="1868"/>
      <c r="I72" s="1870"/>
      <c r="J72" s="1873"/>
      <c r="K72" s="1859"/>
      <c r="L72" s="1226"/>
      <c r="M72" s="1226"/>
      <c r="N72" s="1226"/>
      <c r="O72" s="1226"/>
      <c r="P72" s="1226"/>
      <c r="Q72" s="1226"/>
      <c r="R72" s="1226"/>
      <c r="S72" s="251"/>
      <c r="T72" s="251"/>
      <c r="U72" s="251"/>
      <c r="V72" s="251"/>
      <c r="W72" s="1227"/>
      <c r="X72" s="1189"/>
      <c r="Y72" s="1189"/>
      <c r="Z72" s="1189"/>
      <c r="AA72" s="1189"/>
      <c r="AB72" s="1189"/>
      <c r="AC72" s="1189"/>
      <c r="AD72" s="1189"/>
      <c r="AE72" s="1189"/>
      <c r="AF72" s="1189"/>
      <c r="AG72" s="1189"/>
      <c r="AH72" s="1189"/>
      <c r="AI72" s="1189"/>
      <c r="AJ72" s="1189"/>
      <c r="AK72" s="1189"/>
      <c r="AL72" s="1189"/>
      <c r="AM72" s="1189"/>
      <c r="AN72" s="1189"/>
      <c r="AO72" s="1189"/>
      <c r="AP72" s="1189"/>
      <c r="AQ72" s="1189"/>
    </row>
    <row r="73" spans="1:43" s="1781" customFormat="1" ht="17.25" hidden="1" customHeight="1">
      <c r="A73" s="240"/>
      <c r="C73" s="239"/>
      <c r="D73" s="1861"/>
      <c r="E73" s="1863"/>
      <c r="F73" s="1866"/>
      <c r="G73" s="1863"/>
      <c r="H73" s="1228"/>
      <c r="I73" s="1229"/>
      <c r="J73" s="1229"/>
      <c r="K73" s="1229"/>
      <c r="L73" s="1229"/>
      <c r="M73" s="1229"/>
      <c r="N73" s="1229"/>
      <c r="O73" s="1229"/>
      <c r="P73" s="1229"/>
      <c r="Q73" s="1229"/>
      <c r="R73" s="1229"/>
      <c r="S73" s="1230"/>
      <c r="T73" s="1230"/>
      <c r="U73" s="1230"/>
      <c r="V73" s="1230"/>
      <c r="W73" s="1231"/>
      <c r="X73" s="1189"/>
      <c r="Y73" s="1189"/>
      <c r="Z73" s="1189"/>
      <c r="AA73" s="1189"/>
      <c r="AB73" s="1189"/>
      <c r="AC73" s="1189"/>
      <c r="AD73" s="1189"/>
      <c r="AE73" s="1189"/>
      <c r="AF73" s="1189"/>
      <c r="AG73" s="1189"/>
      <c r="AH73" s="1189"/>
      <c r="AI73" s="1189"/>
      <c r="AJ73" s="1189"/>
      <c r="AK73" s="1189"/>
      <c r="AL73" s="1189"/>
      <c r="AM73" s="1189"/>
      <c r="AN73" s="1189"/>
      <c r="AO73" s="1189"/>
      <c r="AP73" s="1189"/>
      <c r="AQ73" s="1189"/>
    </row>
    <row r="74" spans="1:43" s="1781" customFormat="1" ht="17.25" hidden="1" customHeight="1">
      <c r="A74" s="240"/>
      <c r="C74" s="126"/>
      <c r="D74" s="1860">
        <v>3</v>
      </c>
      <c r="E74" s="1862" t="s">
        <v>216</v>
      </c>
      <c r="F74" s="1864" t="s">
        <v>56</v>
      </c>
      <c r="G74" s="1862"/>
      <c r="H74" s="1867"/>
      <c r="I74" s="1869"/>
      <c r="J74" s="1871"/>
      <c r="K74" s="1858"/>
      <c r="L74" s="1858"/>
      <c r="M74" s="1858"/>
      <c r="N74" s="1874"/>
      <c r="O74" s="1858"/>
      <c r="P74" s="1858"/>
      <c r="Q74" s="1858"/>
      <c r="R74" s="1877"/>
      <c r="S74" s="1858"/>
      <c r="T74" s="1367"/>
      <c r="U74" s="1367"/>
      <c r="V74" s="1369"/>
      <c r="W74" s="1225"/>
      <c r="X74" s="1196"/>
      <c r="Y74" s="1196"/>
      <c r="Z74" s="1196"/>
      <c r="AA74" s="1196"/>
      <c r="AB74" s="1196"/>
      <c r="AC74" s="1196" t="s">
        <v>217</v>
      </c>
      <c r="AD74" s="1196" t="s">
        <v>218</v>
      </c>
      <c r="AE74" s="1196" t="s">
        <v>219</v>
      </c>
      <c r="AF74" s="1196" t="s">
        <v>220</v>
      </c>
      <c r="AG74" s="1196"/>
      <c r="AH74" s="1196" t="str">
        <f>IF($E$74=0,"",$E$74)</f>
        <v>Тариф на транспортировку воды</v>
      </c>
      <c r="AI74" s="1196" t="str">
        <f>IF($G$74=0,"",$G$74)</f>
        <v/>
      </c>
      <c r="AJ74" s="1196" t="str">
        <f>IF($J$74=0,"",$J$74)</f>
        <v/>
      </c>
      <c r="AK74" s="1196" t="str">
        <f>IF($K$74="нет","без дифференциации",IF($N$74=0,"",$N$74))</f>
        <v/>
      </c>
      <c r="AL74" s="1196" t="str">
        <f>IF($O$74="нет","без дифференциации",IF($R$74=0,"",$R$74))</f>
        <v/>
      </c>
      <c r="AM74" s="1196" t="str">
        <f>IF($S$74="нет","без дифференциации",IF($V$74=0,"",$V$74))</f>
        <v/>
      </c>
      <c r="AN74" s="1699">
        <f>$I$74</f>
        <v>0</v>
      </c>
      <c r="AO74" s="1196" t="str">
        <f>$I$74&amp;"."&amp;$M$74</f>
        <v>.</v>
      </c>
      <c r="AP74" s="1189" t="str">
        <f>$I$74&amp;"."&amp;$M$74&amp;"."&amp;$Q$74</f>
        <v>..</v>
      </c>
      <c r="AQ74" s="1189" t="str">
        <f>$I$74&amp;"."&amp;$M$74&amp;"."&amp;$Q$74&amp;"."&amp;$U$74</f>
        <v>...</v>
      </c>
    </row>
    <row r="75" spans="1:43" s="1781" customFormat="1" ht="17.25" hidden="1" customHeight="1">
      <c r="A75" s="240"/>
      <c r="C75" s="239"/>
      <c r="D75" s="1860"/>
      <c r="E75" s="1862"/>
      <c r="F75" s="1865"/>
      <c r="G75" s="1862"/>
      <c r="H75" s="1868"/>
      <c r="I75" s="1870"/>
      <c r="J75" s="1872"/>
      <c r="K75" s="1859"/>
      <c r="L75" s="1859"/>
      <c r="M75" s="1859"/>
      <c r="N75" s="1875"/>
      <c r="O75" s="1859"/>
      <c r="P75" s="1859"/>
      <c r="Q75" s="1859"/>
      <c r="R75" s="1876"/>
      <c r="S75" s="1859"/>
      <c r="T75" s="1226"/>
      <c r="U75" s="1226"/>
      <c r="V75" s="1226"/>
      <c r="W75" s="1227"/>
      <c r="X75" s="1189"/>
      <c r="Y75" s="1189"/>
      <c r="Z75" s="1189"/>
      <c r="AA75" s="1189"/>
      <c r="AB75" s="1189"/>
      <c r="AC75" s="1189"/>
      <c r="AD75" s="1189"/>
      <c r="AE75" s="1189"/>
      <c r="AF75" s="1189"/>
      <c r="AG75" s="1189"/>
      <c r="AH75" s="1189"/>
      <c r="AI75" s="1189"/>
      <c r="AJ75" s="1189"/>
      <c r="AK75" s="1189"/>
      <c r="AL75" s="1189"/>
      <c r="AM75" s="1189"/>
      <c r="AN75" s="1189"/>
      <c r="AO75" s="1189"/>
      <c r="AP75" s="1189"/>
      <c r="AQ75" s="1189"/>
    </row>
    <row r="76" spans="1:43" s="1781" customFormat="1" ht="17.25" hidden="1" customHeight="1">
      <c r="A76" s="240"/>
      <c r="C76" s="239"/>
      <c r="D76" s="1861"/>
      <c r="E76" s="1863"/>
      <c r="F76" s="1865"/>
      <c r="G76" s="1863"/>
      <c r="H76" s="1868"/>
      <c r="I76" s="1870"/>
      <c r="J76" s="1873"/>
      <c r="K76" s="1859"/>
      <c r="L76" s="1859"/>
      <c r="M76" s="1859"/>
      <c r="N76" s="1876"/>
      <c r="O76" s="1859"/>
      <c r="P76" s="1368"/>
      <c r="Q76" s="1226"/>
      <c r="R76" s="1226"/>
      <c r="S76" s="251"/>
      <c r="T76" s="251"/>
      <c r="U76" s="251"/>
      <c r="V76" s="251"/>
      <c r="W76" s="1227"/>
      <c r="X76" s="1189"/>
      <c r="Y76" s="1189"/>
      <c r="Z76" s="1189"/>
      <c r="AA76" s="1189"/>
      <c r="AB76" s="1189"/>
      <c r="AC76" s="1189"/>
      <c r="AD76" s="1189"/>
      <c r="AE76" s="1189"/>
      <c r="AF76" s="1189"/>
      <c r="AG76" s="1189"/>
      <c r="AH76" s="1189"/>
      <c r="AI76" s="1189"/>
      <c r="AJ76" s="1189"/>
      <c r="AK76" s="1189"/>
      <c r="AL76" s="1189"/>
      <c r="AM76" s="1189"/>
      <c r="AN76" s="1189"/>
      <c r="AO76" s="1189"/>
      <c r="AP76" s="1189"/>
      <c r="AQ76" s="1189"/>
    </row>
    <row r="77" spans="1:43" s="1781" customFormat="1" ht="17.25" hidden="1" customHeight="1">
      <c r="A77" s="240"/>
      <c r="C77" s="239"/>
      <c r="D77" s="1861"/>
      <c r="E77" s="1863"/>
      <c r="F77" s="1865"/>
      <c r="G77" s="1863"/>
      <c r="H77" s="1868"/>
      <c r="I77" s="1870"/>
      <c r="J77" s="1873"/>
      <c r="K77" s="1859"/>
      <c r="L77" s="1226"/>
      <c r="M77" s="1226"/>
      <c r="N77" s="1226"/>
      <c r="O77" s="1226"/>
      <c r="P77" s="1226"/>
      <c r="Q77" s="1226"/>
      <c r="R77" s="1226"/>
      <c r="S77" s="251"/>
      <c r="T77" s="251"/>
      <c r="U77" s="251"/>
      <c r="V77" s="251"/>
      <c r="W77" s="1227"/>
      <c r="X77" s="1189"/>
      <c r="Y77" s="1189"/>
      <c r="Z77" s="1189"/>
      <c r="AA77" s="1189"/>
      <c r="AB77" s="1189"/>
      <c r="AC77" s="1189"/>
      <c r="AD77" s="1189"/>
      <c r="AE77" s="1189"/>
      <c r="AF77" s="1189"/>
      <c r="AG77" s="1189"/>
      <c r="AH77" s="1189"/>
      <c r="AI77" s="1189"/>
      <c r="AJ77" s="1189"/>
      <c r="AK77" s="1189"/>
      <c r="AL77" s="1189"/>
      <c r="AM77" s="1189"/>
      <c r="AN77" s="1189"/>
      <c r="AO77" s="1189"/>
      <c r="AP77" s="1189"/>
      <c r="AQ77" s="1189"/>
    </row>
    <row r="78" spans="1:43" s="1781" customFormat="1" ht="17.25" hidden="1" customHeight="1">
      <c r="A78" s="240"/>
      <c r="C78" s="239"/>
      <c r="D78" s="1861"/>
      <c r="E78" s="1863"/>
      <c r="F78" s="1866"/>
      <c r="G78" s="1863"/>
      <c r="H78" s="1228"/>
      <c r="I78" s="1229"/>
      <c r="J78" s="1229"/>
      <c r="K78" s="1229"/>
      <c r="L78" s="1229"/>
      <c r="M78" s="1229"/>
      <c r="N78" s="1229"/>
      <c r="O78" s="1229"/>
      <c r="P78" s="1229"/>
      <c r="Q78" s="1229"/>
      <c r="R78" s="1229"/>
      <c r="S78" s="1230"/>
      <c r="T78" s="1230"/>
      <c r="U78" s="1230"/>
      <c r="V78" s="1230"/>
      <c r="W78" s="1231"/>
      <c r="X78" s="1189"/>
      <c r="Y78" s="1189"/>
      <c r="Z78" s="1189"/>
      <c r="AA78" s="1189"/>
      <c r="AB78" s="1189"/>
      <c r="AC78" s="1189"/>
      <c r="AD78" s="1189"/>
      <c r="AE78" s="1189"/>
      <c r="AF78" s="1189"/>
      <c r="AG78" s="1189"/>
      <c r="AH78" s="1189"/>
      <c r="AI78" s="1189"/>
      <c r="AJ78" s="1189"/>
      <c r="AK78" s="1189"/>
      <c r="AL78" s="1189"/>
      <c r="AM78" s="1189"/>
      <c r="AN78" s="1189"/>
      <c r="AO78" s="1189"/>
      <c r="AP78" s="1189"/>
      <c r="AQ78" s="1189"/>
    </row>
    <row r="79" spans="1:43" s="1781" customFormat="1" ht="17.25" hidden="1" customHeight="1">
      <c r="A79" s="240"/>
      <c r="C79" s="126"/>
      <c r="D79" s="1860">
        <v>4</v>
      </c>
      <c r="E79" s="1862" t="s">
        <v>221</v>
      </c>
      <c r="F79" s="1864" t="s">
        <v>56</v>
      </c>
      <c r="G79" s="1862"/>
      <c r="H79" s="1867"/>
      <c r="I79" s="1869"/>
      <c r="J79" s="1871"/>
      <c r="K79" s="1858"/>
      <c r="L79" s="1858"/>
      <c r="M79" s="1858"/>
      <c r="N79" s="1874"/>
      <c r="O79" s="1858"/>
      <c r="P79" s="1858"/>
      <c r="Q79" s="1858"/>
      <c r="R79" s="1877"/>
      <c r="S79" s="1858"/>
      <c r="T79" s="1367"/>
      <c r="U79" s="1367"/>
      <c r="V79" s="1369"/>
      <c r="W79" s="1225"/>
      <c r="X79" s="1196"/>
      <c r="Y79" s="1196"/>
      <c r="Z79" s="1196"/>
      <c r="AA79" s="1196"/>
      <c r="AB79" s="1196"/>
      <c r="AC79" s="1196" t="s">
        <v>222</v>
      </c>
      <c r="AD79" s="1196" t="s">
        <v>223</v>
      </c>
      <c r="AE79" s="1196" t="s">
        <v>224</v>
      </c>
      <c r="AF79" s="1196" t="s">
        <v>225</v>
      </c>
      <c r="AG79" s="1196"/>
      <c r="AH79" s="1196" t="str">
        <f>IF($E$79=0,"",$E$79)</f>
        <v>Тариф на подвоз воды</v>
      </c>
      <c r="AI79" s="1196" t="str">
        <f>IF($G$79=0,"",$G$79)</f>
        <v/>
      </c>
      <c r="AJ79" s="1196" t="str">
        <f>IF($J$79=0,"",$J$79)</f>
        <v/>
      </c>
      <c r="AK79" s="1196" t="str">
        <f>IF($K$79="нет","без дифференциации",IF($N$79=0,"",$N$79))</f>
        <v/>
      </c>
      <c r="AL79" s="1196" t="str">
        <f>IF($O$79="нет","без дифференциации",IF($R$79=0,"",$R$79))</f>
        <v/>
      </c>
      <c r="AM79" s="1196" t="str">
        <f>IF($S$79="нет","без дифференциации",IF($V$79=0,"",$V$79))</f>
        <v/>
      </c>
      <c r="AN79" s="1699">
        <f>$I$79</f>
        <v>0</v>
      </c>
      <c r="AO79" s="1196" t="str">
        <f>$I$79&amp;"."&amp;$M$79</f>
        <v>.</v>
      </c>
      <c r="AP79" s="1189" t="str">
        <f>$I$79&amp;"."&amp;$M$79&amp;"."&amp;$Q$79</f>
        <v>..</v>
      </c>
      <c r="AQ79" s="1189" t="str">
        <f>$I$79&amp;"."&amp;$M$79&amp;"."&amp;$Q$79&amp;"."&amp;$U$79</f>
        <v>...</v>
      </c>
    </row>
    <row r="80" spans="1:43" s="1781" customFormat="1" ht="17.25" hidden="1" customHeight="1">
      <c r="A80" s="240"/>
      <c r="C80" s="239"/>
      <c r="D80" s="1860"/>
      <c r="E80" s="1862"/>
      <c r="F80" s="1865"/>
      <c r="G80" s="1862"/>
      <c r="H80" s="1868"/>
      <c r="I80" s="1870"/>
      <c r="J80" s="1872"/>
      <c r="K80" s="1859"/>
      <c r="L80" s="1859"/>
      <c r="M80" s="1859"/>
      <c r="N80" s="1875"/>
      <c r="O80" s="1859"/>
      <c r="P80" s="1859"/>
      <c r="Q80" s="1859"/>
      <c r="R80" s="1876"/>
      <c r="S80" s="1859"/>
      <c r="T80" s="1226"/>
      <c r="U80" s="1226"/>
      <c r="V80" s="1226"/>
      <c r="W80" s="1227"/>
      <c r="X80" s="1189"/>
      <c r="Y80" s="1189"/>
      <c r="Z80" s="1189"/>
      <c r="AA80" s="1189"/>
      <c r="AB80" s="1189"/>
      <c r="AC80" s="1189"/>
      <c r="AD80" s="1189"/>
      <c r="AE80" s="1189"/>
      <c r="AF80" s="1189"/>
      <c r="AG80" s="1189"/>
      <c r="AH80" s="1189"/>
      <c r="AI80" s="1189"/>
      <c r="AJ80" s="1189"/>
      <c r="AK80" s="1189"/>
      <c r="AL80" s="1189"/>
      <c r="AM80" s="1189"/>
      <c r="AN80" s="1189"/>
      <c r="AO80" s="1189"/>
      <c r="AP80" s="1189"/>
      <c r="AQ80" s="1189"/>
    </row>
    <row r="81" spans="1:43" s="1781" customFormat="1" ht="17.25" hidden="1" customHeight="1">
      <c r="A81" s="240"/>
      <c r="C81" s="239"/>
      <c r="D81" s="1861"/>
      <c r="E81" s="1863"/>
      <c r="F81" s="1865"/>
      <c r="G81" s="1863"/>
      <c r="H81" s="1868"/>
      <c r="I81" s="1870"/>
      <c r="J81" s="1873"/>
      <c r="K81" s="1859"/>
      <c r="L81" s="1859"/>
      <c r="M81" s="1859"/>
      <c r="N81" s="1876"/>
      <c r="O81" s="1859"/>
      <c r="P81" s="1368"/>
      <c r="Q81" s="1226"/>
      <c r="R81" s="1226"/>
      <c r="S81" s="251"/>
      <c r="T81" s="251"/>
      <c r="U81" s="251"/>
      <c r="V81" s="251"/>
      <c r="W81" s="1227"/>
      <c r="X81" s="1189"/>
      <c r="Y81" s="1189"/>
      <c r="Z81" s="1189"/>
      <c r="AA81" s="1189"/>
      <c r="AB81" s="1189"/>
      <c r="AC81" s="1189"/>
      <c r="AD81" s="1189"/>
      <c r="AE81" s="1189"/>
      <c r="AF81" s="1189"/>
      <c r="AG81" s="1189"/>
      <c r="AH81" s="1189"/>
      <c r="AI81" s="1189"/>
      <c r="AJ81" s="1189"/>
      <c r="AK81" s="1189"/>
      <c r="AL81" s="1189"/>
      <c r="AM81" s="1189"/>
      <c r="AN81" s="1189"/>
      <c r="AO81" s="1189"/>
      <c r="AP81" s="1189"/>
      <c r="AQ81" s="1189"/>
    </row>
    <row r="82" spans="1:43" s="1781" customFormat="1" ht="17.25" hidden="1" customHeight="1">
      <c r="A82" s="240"/>
      <c r="C82" s="239"/>
      <c r="D82" s="1861"/>
      <c r="E82" s="1863"/>
      <c r="F82" s="1865"/>
      <c r="G82" s="1863"/>
      <c r="H82" s="1868"/>
      <c r="I82" s="1870"/>
      <c r="J82" s="1873"/>
      <c r="K82" s="1859"/>
      <c r="L82" s="1226"/>
      <c r="M82" s="1226"/>
      <c r="N82" s="1226"/>
      <c r="O82" s="1226"/>
      <c r="P82" s="1226"/>
      <c r="Q82" s="1226"/>
      <c r="R82" s="1226"/>
      <c r="S82" s="251"/>
      <c r="T82" s="251"/>
      <c r="U82" s="251"/>
      <c r="V82" s="251"/>
      <c r="W82" s="1227"/>
      <c r="X82" s="1189"/>
      <c r="Y82" s="1189"/>
      <c r="Z82" s="1189"/>
      <c r="AA82" s="1189"/>
      <c r="AB82" s="1189"/>
      <c r="AC82" s="1189"/>
      <c r="AD82" s="1189"/>
      <c r="AE82" s="1189"/>
      <c r="AF82" s="1189"/>
      <c r="AG82" s="1189"/>
      <c r="AH82" s="1189"/>
      <c r="AI82" s="1189"/>
      <c r="AJ82" s="1189"/>
      <c r="AK82" s="1189"/>
      <c r="AL82" s="1189"/>
      <c r="AM82" s="1189"/>
      <c r="AN82" s="1189"/>
      <c r="AO82" s="1189"/>
      <c r="AP82" s="1189"/>
      <c r="AQ82" s="1189"/>
    </row>
    <row r="83" spans="1:43" s="1781" customFormat="1" ht="17.25" hidden="1" customHeight="1">
      <c r="A83" s="240"/>
      <c r="C83" s="239"/>
      <c r="D83" s="1861"/>
      <c r="E83" s="1863"/>
      <c r="F83" s="1866"/>
      <c r="G83" s="1863"/>
      <c r="H83" s="1228"/>
      <c r="I83" s="1229"/>
      <c r="J83" s="1229"/>
      <c r="K83" s="1229"/>
      <c r="L83" s="1229"/>
      <c r="M83" s="1229"/>
      <c r="N83" s="1229"/>
      <c r="O83" s="1229"/>
      <c r="P83" s="1229"/>
      <c r="Q83" s="1229"/>
      <c r="R83" s="1229"/>
      <c r="S83" s="1230"/>
      <c r="T83" s="1230"/>
      <c r="U83" s="1230"/>
      <c r="V83" s="1230"/>
      <c r="W83" s="1231"/>
      <c r="X83" s="1189"/>
      <c r="Y83" s="1189"/>
      <c r="Z83" s="1189"/>
      <c r="AA83" s="1189"/>
      <c r="AB83" s="1189"/>
      <c r="AC83" s="1189"/>
      <c r="AD83" s="1189"/>
      <c r="AE83" s="1189"/>
      <c r="AF83" s="1189"/>
      <c r="AG83" s="1189"/>
      <c r="AH83" s="1189"/>
      <c r="AI83" s="1189"/>
      <c r="AJ83" s="1189"/>
      <c r="AK83" s="1189"/>
      <c r="AL83" s="1189"/>
      <c r="AM83" s="1189"/>
      <c r="AN83" s="1189"/>
      <c r="AO83" s="1189"/>
      <c r="AP83" s="1189"/>
      <c r="AQ83" s="1189"/>
    </row>
    <row r="84" spans="1:43" s="1781" customFormat="1" ht="17.25" hidden="1" customHeight="1">
      <c r="A84" s="240"/>
      <c r="C84" s="126"/>
      <c r="D84" s="1860">
        <v>5</v>
      </c>
      <c r="E84" s="1862" t="s">
        <v>226</v>
      </c>
      <c r="F84" s="1864" t="s">
        <v>56</v>
      </c>
      <c r="G84" s="1862"/>
      <c r="H84" s="1867"/>
      <c r="I84" s="1869"/>
      <c r="J84" s="1871"/>
      <c r="K84" s="1858"/>
      <c r="L84" s="1858"/>
      <c r="M84" s="1858"/>
      <c r="N84" s="1874"/>
      <c r="O84" s="1858"/>
      <c r="P84" s="1858"/>
      <c r="Q84" s="1858"/>
      <c r="R84" s="1877"/>
      <c r="S84" s="1858"/>
      <c r="T84" s="1391"/>
      <c r="U84" s="1391"/>
      <c r="V84" s="1393"/>
      <c r="W84" s="1225"/>
      <c r="X84" s="1196"/>
      <c r="Y84" s="1196"/>
      <c r="Z84" s="1196"/>
      <c r="AA84" s="1196"/>
      <c r="AB84" s="1196"/>
      <c r="AC84" s="1196" t="s">
        <v>227</v>
      </c>
      <c r="AD84" s="1196" t="s">
        <v>228</v>
      </c>
      <c r="AE84" s="1196" t="s">
        <v>229</v>
      </c>
      <c r="AF84" s="1196" t="s">
        <v>230</v>
      </c>
      <c r="AG84" s="1196"/>
      <c r="AH84" s="1196" t="str">
        <f>IF($E$84=0,"",$E$84)</f>
        <v>Тариф на подключение (технологическое присоединение) к централизованной системе холодного водоснабжения</v>
      </c>
      <c r="AI84" s="1196" t="str">
        <f>IF($G$84=0,"",$G$84)</f>
        <v/>
      </c>
      <c r="AJ84" s="1196" t="str">
        <f>IF($J$84=0,"",$J$84)</f>
        <v/>
      </c>
      <c r="AK84" s="1196" t="str">
        <f>IF($K$84="нет","без дифференциации",IF($N$84=0,"",$N$84))</f>
        <v/>
      </c>
      <c r="AL84" s="1196" t="str">
        <f>IF($O$84="нет","без дифференциации",IF($R$84=0,"",$R$84))</f>
        <v/>
      </c>
      <c r="AM84" s="1196" t="str">
        <f>IF($S$84="нет","без дифференциации",IF($V$84=0,"",$V$84))</f>
        <v/>
      </c>
      <c r="AN84" s="1699">
        <f>$I$84</f>
        <v>0</v>
      </c>
      <c r="AO84" s="1196" t="str">
        <f>$I$84&amp;"."&amp;$M$84</f>
        <v>.</v>
      </c>
      <c r="AP84" s="1189" t="str">
        <f>$I$84&amp;"."&amp;$M$84&amp;"."&amp;$Q$84</f>
        <v>..</v>
      </c>
      <c r="AQ84" s="1189" t="str">
        <f>$I$84&amp;"."&amp;$M$84&amp;"."&amp;$Q$84&amp;"."&amp;$U$84</f>
        <v>...</v>
      </c>
    </row>
    <row r="85" spans="1:43" s="1781" customFormat="1" ht="17.25" hidden="1" customHeight="1">
      <c r="A85" s="240"/>
      <c r="C85" s="239"/>
      <c r="D85" s="1860"/>
      <c r="E85" s="1862"/>
      <c r="F85" s="1865"/>
      <c r="G85" s="1862"/>
      <c r="H85" s="1868"/>
      <c r="I85" s="1870"/>
      <c r="J85" s="1872"/>
      <c r="K85" s="1859"/>
      <c r="L85" s="1859"/>
      <c r="M85" s="1859"/>
      <c r="N85" s="1875"/>
      <c r="O85" s="1859"/>
      <c r="P85" s="1859"/>
      <c r="Q85" s="1859"/>
      <c r="R85" s="1876"/>
      <c r="S85" s="1859"/>
      <c r="T85" s="1226"/>
      <c r="U85" s="1226"/>
      <c r="V85" s="1226"/>
      <c r="W85" s="1227"/>
      <c r="X85" s="1189"/>
      <c r="Y85" s="1189"/>
      <c r="Z85" s="1189"/>
      <c r="AA85" s="1189"/>
      <c r="AB85" s="1189"/>
      <c r="AC85" s="1189"/>
      <c r="AD85" s="1189"/>
      <c r="AE85" s="1189"/>
      <c r="AF85" s="1189"/>
      <c r="AG85" s="1189"/>
      <c r="AH85" s="1189"/>
      <c r="AI85" s="1189"/>
      <c r="AJ85" s="1189"/>
      <c r="AK85" s="1189"/>
      <c r="AL85" s="1189"/>
      <c r="AM85" s="1189"/>
      <c r="AN85" s="1189"/>
      <c r="AO85" s="1189"/>
      <c r="AP85" s="1189"/>
      <c r="AQ85" s="1189"/>
    </row>
    <row r="86" spans="1:43" s="1781" customFormat="1" ht="17.25" hidden="1" customHeight="1">
      <c r="A86" s="240"/>
      <c r="C86" s="239"/>
      <c r="D86" s="1861"/>
      <c r="E86" s="1863"/>
      <c r="F86" s="1865"/>
      <c r="G86" s="1863"/>
      <c r="H86" s="1868"/>
      <c r="I86" s="1870"/>
      <c r="J86" s="1873"/>
      <c r="K86" s="1859"/>
      <c r="L86" s="1859"/>
      <c r="M86" s="1859"/>
      <c r="N86" s="1876"/>
      <c r="O86" s="1859"/>
      <c r="P86" s="1392"/>
      <c r="Q86" s="1226"/>
      <c r="R86" s="1226"/>
      <c r="S86" s="251"/>
      <c r="T86" s="251"/>
      <c r="U86" s="251"/>
      <c r="V86" s="251"/>
      <c r="W86" s="1227"/>
      <c r="X86" s="1189"/>
      <c r="Y86" s="1189"/>
      <c r="Z86" s="1189"/>
      <c r="AA86" s="1189"/>
      <c r="AB86" s="1189"/>
      <c r="AC86" s="1189"/>
      <c r="AD86" s="1189"/>
      <c r="AE86" s="1189"/>
      <c r="AF86" s="1189"/>
      <c r="AG86" s="1189"/>
      <c r="AH86" s="1189"/>
      <c r="AI86" s="1189"/>
      <c r="AJ86" s="1189"/>
      <c r="AK86" s="1189"/>
      <c r="AL86" s="1189"/>
      <c r="AM86" s="1189"/>
      <c r="AN86" s="1189"/>
      <c r="AO86" s="1189"/>
      <c r="AP86" s="1189"/>
      <c r="AQ86" s="1189"/>
    </row>
    <row r="87" spans="1:43" s="1781" customFormat="1" ht="17.25" hidden="1" customHeight="1">
      <c r="A87" s="240"/>
      <c r="C87" s="239"/>
      <c r="D87" s="1861"/>
      <c r="E87" s="1863"/>
      <c r="F87" s="1865"/>
      <c r="G87" s="1863"/>
      <c r="H87" s="1868"/>
      <c r="I87" s="1870"/>
      <c r="J87" s="1873"/>
      <c r="K87" s="1859"/>
      <c r="L87" s="1226"/>
      <c r="M87" s="1226"/>
      <c r="N87" s="1226"/>
      <c r="O87" s="1226"/>
      <c r="P87" s="1226"/>
      <c r="Q87" s="1226"/>
      <c r="R87" s="1226"/>
      <c r="S87" s="251"/>
      <c r="T87" s="251"/>
      <c r="U87" s="251"/>
      <c r="V87" s="251"/>
      <c r="W87" s="1227"/>
      <c r="X87" s="1189"/>
      <c r="Y87" s="1189"/>
      <c r="Z87" s="1189"/>
      <c r="AA87" s="1189"/>
      <c r="AB87" s="1189"/>
      <c r="AC87" s="1189"/>
      <c r="AD87" s="1189"/>
      <c r="AE87" s="1189"/>
      <c r="AF87" s="1189"/>
      <c r="AG87" s="1189"/>
      <c r="AH87" s="1189"/>
      <c r="AI87" s="1189"/>
      <c r="AJ87" s="1189"/>
      <c r="AK87" s="1189"/>
      <c r="AL87" s="1189"/>
      <c r="AM87" s="1189"/>
      <c r="AN87" s="1189"/>
      <c r="AO87" s="1189"/>
      <c r="AP87" s="1189"/>
      <c r="AQ87" s="1189"/>
    </row>
    <row r="88" spans="1:43" s="1781" customFormat="1" ht="17.25" hidden="1" customHeight="1">
      <c r="A88" s="240"/>
      <c r="C88" s="239"/>
      <c r="D88" s="1861"/>
      <c r="E88" s="1863"/>
      <c r="F88" s="1866"/>
      <c r="G88" s="1863"/>
      <c r="H88" s="1228"/>
      <c r="I88" s="1229"/>
      <c r="J88" s="1229"/>
      <c r="K88" s="1229"/>
      <c r="L88" s="1229"/>
      <c r="M88" s="1229"/>
      <c r="N88" s="1229"/>
      <c r="O88" s="1229"/>
      <c r="P88" s="1229"/>
      <c r="Q88" s="1229"/>
      <c r="R88" s="1229"/>
      <c r="S88" s="1230"/>
      <c r="T88" s="1230"/>
      <c r="U88" s="1230"/>
      <c r="V88" s="1230"/>
      <c r="W88" s="1231"/>
      <c r="X88" s="1189"/>
      <c r="Y88" s="1189"/>
      <c r="Z88" s="1189"/>
      <c r="AA88" s="1189"/>
      <c r="AB88" s="1189"/>
      <c r="AC88" s="1189"/>
      <c r="AD88" s="1189"/>
      <c r="AE88" s="1189"/>
      <c r="AF88" s="1189"/>
      <c r="AG88" s="1189"/>
      <c r="AH88" s="1189"/>
      <c r="AI88" s="1189"/>
      <c r="AJ88" s="1189"/>
      <c r="AK88" s="1189"/>
      <c r="AL88" s="1189"/>
      <c r="AM88" s="1189"/>
      <c r="AN88" s="1189"/>
      <c r="AO88" s="1189"/>
      <c r="AP88" s="1189"/>
      <c r="AQ88" s="1189"/>
    </row>
    <row r="89" spans="1:43" s="1781" customFormat="1" ht="11.25" customHeight="1">
      <c r="A89" s="191"/>
      <c r="B89" s="191"/>
      <c r="Y89" s="1189"/>
      <c r="Z89" s="1189"/>
      <c r="AA89" s="1189"/>
      <c r="AB89" s="1189"/>
      <c r="AC89" s="1189"/>
      <c r="AD89" s="1189"/>
      <c r="AE89" s="1189"/>
      <c r="AF89" s="1189"/>
      <c r="AG89" s="1189"/>
      <c r="AH89" s="1189"/>
      <c r="AI89" s="1189"/>
      <c r="AJ89" s="1189"/>
      <c r="AK89" s="1189"/>
      <c r="AL89" s="1189"/>
      <c r="AM89" s="1189"/>
      <c r="AN89" s="1189"/>
      <c r="AO89" s="1189"/>
      <c r="AP89" s="1189"/>
      <c r="AQ89" s="1189"/>
    </row>
    <row r="90" spans="1:43" s="1781" customFormat="1" ht="17.25" hidden="1" customHeight="1">
      <c r="A90" s="240"/>
      <c r="C90" s="126"/>
      <c r="D90" s="1860">
        <v>1</v>
      </c>
      <c r="E90" s="1862" t="s">
        <v>231</v>
      </c>
      <c r="F90" s="1864" t="s">
        <v>56</v>
      </c>
      <c r="G90" s="1862"/>
      <c r="H90" s="1867"/>
      <c r="I90" s="1869"/>
      <c r="J90" s="1871"/>
      <c r="K90" s="1858"/>
      <c r="L90" s="1858"/>
      <c r="M90" s="1858"/>
      <c r="N90" s="1874"/>
      <c r="O90" s="1858"/>
      <c r="P90" s="1858"/>
      <c r="Q90" s="1858"/>
      <c r="R90" s="1877"/>
      <c r="S90" s="1858"/>
      <c r="T90" s="1391"/>
      <c r="U90" s="1391"/>
      <c r="V90" s="1393"/>
      <c r="W90" s="1225"/>
      <c r="Y90" s="1196"/>
      <c r="Z90" s="1196"/>
      <c r="AA90" s="1196"/>
      <c r="AB90" s="1196"/>
      <c r="AC90" s="1196" t="s">
        <v>232</v>
      </c>
      <c r="AD90" s="1196" t="s">
        <v>233</v>
      </c>
      <c r="AE90" s="1196" t="s">
        <v>234</v>
      </c>
      <c r="AF90" s="1196" t="s">
        <v>235</v>
      </c>
      <c r="AG90" s="1196"/>
      <c r="AH90" s="1196" t="str">
        <f>IF($E$90=0,"",$E$90)</f>
        <v>Тариф на горячую воду (горячее водоснабжение)</v>
      </c>
      <c r="AI90" s="1196" t="str">
        <f>IF($G$90=0,"",$G$90)</f>
        <v/>
      </c>
      <c r="AJ90" s="1196" t="str">
        <f>IF($J$90=0,"",$J$90)</f>
        <v/>
      </c>
      <c r="AK90" s="1196" t="str">
        <f>IF($K$90="нет","без дифференциации",IF($N$90=0,"",$N$90))</f>
        <v/>
      </c>
      <c r="AL90" s="1196" t="str">
        <f>IF($O$90="нет","без дифференциации",IF($R$90=0,"",$R$90))</f>
        <v/>
      </c>
      <c r="AM90" s="1196" t="str">
        <f>IF($S$90="нет","без дифференциации",IF($V$90=0,"",$V$90))</f>
        <v/>
      </c>
      <c r="AN90" s="1196">
        <f>$I$90</f>
        <v>0</v>
      </c>
      <c r="AO90" s="1196" t="str">
        <f>$I$90&amp;"."&amp;$M$90</f>
        <v>.</v>
      </c>
      <c r="AP90" s="1196" t="str">
        <f>$I$90&amp;"."&amp;$M$90&amp;"."&amp;$Q$90</f>
        <v>..</v>
      </c>
      <c r="AQ90" s="1196" t="str">
        <f>$I$90&amp;"."&amp;$M$90&amp;"."&amp;$Q$90&amp;"."&amp;$U$90</f>
        <v>...</v>
      </c>
    </row>
    <row r="91" spans="1:43" s="1781" customFormat="1" ht="17.25" hidden="1" customHeight="1">
      <c r="A91" s="240"/>
      <c r="C91" s="239"/>
      <c r="D91" s="1860"/>
      <c r="E91" s="1862"/>
      <c r="F91" s="1865"/>
      <c r="G91" s="1862"/>
      <c r="H91" s="1868"/>
      <c r="I91" s="1870"/>
      <c r="J91" s="1872"/>
      <c r="K91" s="1859"/>
      <c r="L91" s="1859"/>
      <c r="M91" s="1859"/>
      <c r="N91" s="1875"/>
      <c r="O91" s="1859"/>
      <c r="P91" s="1859"/>
      <c r="Q91" s="1859"/>
      <c r="R91" s="1876"/>
      <c r="S91" s="1859"/>
      <c r="T91" s="1226"/>
      <c r="U91" s="1226"/>
      <c r="V91" s="1226"/>
      <c r="W91" s="1227"/>
      <c r="Y91" s="1189"/>
      <c r="Z91" s="1189"/>
      <c r="AA91" s="1189"/>
      <c r="AB91" s="1189"/>
      <c r="AC91" s="1189"/>
      <c r="AD91" s="1189"/>
      <c r="AE91" s="1189"/>
      <c r="AF91" s="1189"/>
      <c r="AG91" s="1189"/>
      <c r="AH91" s="1189"/>
      <c r="AI91" s="1189"/>
      <c r="AJ91" s="1189"/>
      <c r="AK91" s="1189"/>
      <c r="AL91" s="1189"/>
      <c r="AM91" s="1189"/>
      <c r="AN91" s="1189"/>
      <c r="AO91" s="1189"/>
      <c r="AP91" s="1189"/>
      <c r="AQ91" s="1189"/>
    </row>
    <row r="92" spans="1:43" s="1781" customFormat="1" ht="17.25" hidden="1" customHeight="1">
      <c r="A92" s="240"/>
      <c r="C92" s="126"/>
      <c r="D92" s="1860"/>
      <c r="E92" s="1862"/>
      <c r="F92" s="1865"/>
      <c r="G92" s="1862"/>
      <c r="H92" s="1868"/>
      <c r="I92" s="1870"/>
      <c r="J92" s="1873"/>
      <c r="K92" s="1859"/>
      <c r="L92" s="1859"/>
      <c r="M92" s="1859"/>
      <c r="N92" s="1876"/>
      <c r="O92" s="1859"/>
      <c r="P92" s="1392"/>
      <c r="Q92" s="1226"/>
      <c r="R92" s="1226"/>
      <c r="S92" s="251"/>
      <c r="T92" s="251"/>
      <c r="U92" s="251"/>
      <c r="V92" s="251"/>
      <c r="W92" s="1227"/>
      <c r="Y92" s="1196"/>
      <c r="Z92" s="1196"/>
      <c r="AA92" s="1196"/>
      <c r="AB92" s="1196"/>
      <c r="AC92" s="1196"/>
      <c r="AD92" s="1196"/>
      <c r="AE92" s="1196"/>
      <c r="AF92" s="1196"/>
      <c r="AG92" s="1196"/>
      <c r="AH92" s="1196"/>
      <c r="AI92" s="1196"/>
      <c r="AJ92" s="1196"/>
      <c r="AK92" s="1196"/>
      <c r="AL92" s="1196"/>
      <c r="AM92" s="1196"/>
      <c r="AN92" s="1196"/>
      <c r="AO92" s="1196"/>
      <c r="AP92" s="1196"/>
      <c r="AQ92" s="1196"/>
    </row>
    <row r="93" spans="1:43" s="1781" customFormat="1" ht="17.25" hidden="1" customHeight="1">
      <c r="A93" s="240"/>
      <c r="C93" s="239"/>
      <c r="D93" s="1860"/>
      <c r="E93" s="1862"/>
      <c r="F93" s="1865"/>
      <c r="G93" s="1862"/>
      <c r="H93" s="1868"/>
      <c r="I93" s="1870"/>
      <c r="J93" s="1873"/>
      <c r="K93" s="1859"/>
      <c r="L93" s="1226"/>
      <c r="M93" s="1226"/>
      <c r="N93" s="1226"/>
      <c r="O93" s="1226"/>
      <c r="P93" s="1226"/>
      <c r="Q93" s="1226"/>
      <c r="R93" s="1226"/>
      <c r="S93" s="251"/>
      <c r="T93" s="251"/>
      <c r="U93" s="251"/>
      <c r="V93" s="251"/>
      <c r="W93" s="1227"/>
      <c r="Y93" s="1189"/>
      <c r="Z93" s="1189"/>
      <c r="AA93" s="1189"/>
      <c r="AB93" s="1189"/>
      <c r="AC93" s="1189"/>
      <c r="AD93" s="1189"/>
      <c r="AE93" s="1189"/>
      <c r="AF93" s="1189"/>
      <c r="AG93" s="1189"/>
      <c r="AH93" s="1189"/>
      <c r="AI93" s="1189"/>
      <c r="AJ93" s="1189"/>
      <c r="AK93" s="1189"/>
      <c r="AL93" s="1189"/>
      <c r="AM93" s="1189"/>
      <c r="AN93" s="1189"/>
      <c r="AO93" s="1189"/>
      <c r="AP93" s="1189"/>
      <c r="AQ93" s="1189"/>
    </row>
    <row r="94" spans="1:43" s="1781" customFormat="1" ht="17.25" hidden="1" customHeight="1">
      <c r="A94" s="240"/>
      <c r="C94" s="239"/>
      <c r="D94" s="1861"/>
      <c r="E94" s="1863"/>
      <c r="F94" s="1866"/>
      <c r="G94" s="1863"/>
      <c r="H94" s="1228"/>
      <c r="I94" s="1229"/>
      <c r="J94" s="1229"/>
      <c r="K94" s="1229"/>
      <c r="L94" s="1229"/>
      <c r="M94" s="1229"/>
      <c r="N94" s="1229"/>
      <c r="O94" s="1229"/>
      <c r="P94" s="1229"/>
      <c r="Q94" s="1229"/>
      <c r="R94" s="1229"/>
      <c r="S94" s="1230"/>
      <c r="T94" s="1230"/>
      <c r="U94" s="1230"/>
      <c r="V94" s="1230"/>
      <c r="W94" s="1231"/>
      <c r="Y94" s="1189"/>
      <c r="Z94" s="1189"/>
      <c r="AA94" s="1189"/>
      <c r="AB94" s="1189"/>
      <c r="AC94" s="1189"/>
      <c r="AD94" s="1189"/>
      <c r="AE94" s="1189"/>
      <c r="AF94" s="1189"/>
      <c r="AG94" s="1189"/>
      <c r="AH94" s="1189"/>
      <c r="AI94" s="1189"/>
      <c r="AJ94" s="1189"/>
      <c r="AK94" s="1189"/>
      <c r="AL94" s="1189"/>
      <c r="AM94" s="1189"/>
      <c r="AN94" s="1189"/>
      <c r="AO94" s="1189"/>
      <c r="AP94" s="1189"/>
      <c r="AQ94" s="1189"/>
    </row>
    <row r="95" spans="1:43" s="1781" customFormat="1" ht="17.25" hidden="1" customHeight="1">
      <c r="A95" s="240"/>
      <c r="C95" s="126"/>
      <c r="D95" s="1860">
        <v>2</v>
      </c>
      <c r="E95" s="1862" t="s">
        <v>236</v>
      </c>
      <c r="F95" s="1864" t="s">
        <v>56</v>
      </c>
      <c r="G95" s="1862"/>
      <c r="H95" s="1867"/>
      <c r="I95" s="1869"/>
      <c r="J95" s="1871"/>
      <c r="K95" s="1858"/>
      <c r="L95" s="1858"/>
      <c r="M95" s="1858"/>
      <c r="N95" s="1874"/>
      <c r="O95" s="1858"/>
      <c r="P95" s="1858"/>
      <c r="Q95" s="1858"/>
      <c r="R95" s="1877"/>
      <c r="S95" s="1858"/>
      <c r="T95" s="1391"/>
      <c r="U95" s="1391"/>
      <c r="V95" s="1393"/>
      <c r="W95" s="1225"/>
      <c r="X95" s="1196"/>
      <c r="Y95" s="1196"/>
      <c r="Z95" s="1196"/>
      <c r="AA95" s="1196"/>
      <c r="AB95" s="1196"/>
      <c r="AC95" s="1196" t="s">
        <v>237</v>
      </c>
      <c r="AD95" s="1196" t="s">
        <v>238</v>
      </c>
      <c r="AE95" s="1196" t="s">
        <v>239</v>
      </c>
      <c r="AF95" s="1196" t="s">
        <v>240</v>
      </c>
      <c r="AG95" s="1196"/>
      <c r="AH95" s="1196" t="str">
        <f>IF($E$95=0,"",$E$95)</f>
        <v>Тариф на транспортировку горячей воды</v>
      </c>
      <c r="AI95" s="1196" t="str">
        <f>IF($G$95=0,"",$G$95)</f>
        <v/>
      </c>
      <c r="AJ95" s="1196" t="str">
        <f>IF($J$95=0,"",$J$95)</f>
        <v/>
      </c>
      <c r="AK95" s="1196" t="str">
        <f>IF($K$95="нет","без дифференциации",IF($N$95=0,"",$N$95))</f>
        <v/>
      </c>
      <c r="AL95" s="1196" t="str">
        <f>IF($O$95="нет","без дифференциации",IF($R$95=0,"",$R$95))</f>
        <v/>
      </c>
      <c r="AM95" s="1196" t="str">
        <f>IF($S$95="нет","без дифференциации",IF($V$95=0,"",$V$95))</f>
        <v/>
      </c>
      <c r="AN95" s="1699">
        <f>$I$95</f>
        <v>0</v>
      </c>
      <c r="AO95" s="1196" t="str">
        <f>$I$95&amp;"."&amp;$M$95</f>
        <v>.</v>
      </c>
      <c r="AP95" s="1189" t="str">
        <f>$I$95&amp;"."&amp;$M$95&amp;"."&amp;$Q$95</f>
        <v>..</v>
      </c>
      <c r="AQ95" s="1189" t="str">
        <f>$I$95&amp;"."&amp;$M$95&amp;"."&amp;$Q$95&amp;"."&amp;$U$95</f>
        <v>...</v>
      </c>
    </row>
    <row r="96" spans="1:43" s="1781" customFormat="1" ht="17.25" hidden="1" customHeight="1">
      <c r="A96" s="240"/>
      <c r="C96" s="239"/>
      <c r="D96" s="1860"/>
      <c r="E96" s="1862"/>
      <c r="F96" s="1865"/>
      <c r="G96" s="1862"/>
      <c r="H96" s="1868"/>
      <c r="I96" s="1870"/>
      <c r="J96" s="1872"/>
      <c r="K96" s="1859"/>
      <c r="L96" s="1859"/>
      <c r="M96" s="1859"/>
      <c r="N96" s="1875"/>
      <c r="O96" s="1859"/>
      <c r="P96" s="1859"/>
      <c r="Q96" s="1859"/>
      <c r="R96" s="1876"/>
      <c r="S96" s="1859"/>
      <c r="T96" s="1226"/>
      <c r="U96" s="1226"/>
      <c r="V96" s="1226"/>
      <c r="W96" s="1227"/>
      <c r="X96" s="1189"/>
      <c r="Y96" s="1189"/>
      <c r="Z96" s="1189"/>
      <c r="AA96" s="1189"/>
      <c r="AB96" s="1189"/>
      <c r="AC96" s="1189"/>
      <c r="AD96" s="1189"/>
      <c r="AE96" s="1189"/>
      <c r="AF96" s="1189"/>
      <c r="AG96" s="1189"/>
      <c r="AH96" s="1189"/>
      <c r="AI96" s="1189"/>
      <c r="AJ96" s="1189"/>
      <c r="AK96" s="1189"/>
      <c r="AL96" s="1189"/>
      <c r="AM96" s="1189"/>
      <c r="AN96" s="1189"/>
      <c r="AO96" s="1189"/>
      <c r="AP96" s="1189"/>
      <c r="AQ96" s="1189"/>
    </row>
    <row r="97" spans="1:43" s="1781" customFormat="1" ht="17.25" hidden="1" customHeight="1">
      <c r="A97" s="240"/>
      <c r="C97" s="239"/>
      <c r="D97" s="1861"/>
      <c r="E97" s="1863"/>
      <c r="F97" s="1865"/>
      <c r="G97" s="1863"/>
      <c r="H97" s="1868"/>
      <c r="I97" s="1870"/>
      <c r="J97" s="1873"/>
      <c r="K97" s="1859"/>
      <c r="L97" s="1859"/>
      <c r="M97" s="1859"/>
      <c r="N97" s="1876"/>
      <c r="O97" s="1859"/>
      <c r="P97" s="1392"/>
      <c r="Q97" s="1226"/>
      <c r="R97" s="1226"/>
      <c r="S97" s="251"/>
      <c r="T97" s="251"/>
      <c r="U97" s="251"/>
      <c r="V97" s="251"/>
      <c r="W97" s="1227"/>
      <c r="X97" s="1189"/>
      <c r="Y97" s="1189"/>
      <c r="Z97" s="1189"/>
      <c r="AA97" s="1189"/>
      <c r="AB97" s="1189"/>
      <c r="AC97" s="1189"/>
      <c r="AD97" s="1189"/>
      <c r="AE97" s="1189"/>
      <c r="AF97" s="1189"/>
      <c r="AG97" s="1189"/>
      <c r="AH97" s="1189"/>
      <c r="AI97" s="1189"/>
      <c r="AJ97" s="1189"/>
      <c r="AK97" s="1189"/>
      <c r="AL97" s="1189"/>
      <c r="AM97" s="1189"/>
      <c r="AN97" s="1189"/>
      <c r="AO97" s="1189"/>
      <c r="AP97" s="1189"/>
      <c r="AQ97" s="1189"/>
    </row>
    <row r="98" spans="1:43" s="1781" customFormat="1" ht="17.25" hidden="1" customHeight="1">
      <c r="A98" s="240"/>
      <c r="C98" s="239"/>
      <c r="D98" s="1861"/>
      <c r="E98" s="1863"/>
      <c r="F98" s="1865"/>
      <c r="G98" s="1863"/>
      <c r="H98" s="1868"/>
      <c r="I98" s="1870"/>
      <c r="J98" s="1873"/>
      <c r="K98" s="1859"/>
      <c r="L98" s="1226"/>
      <c r="M98" s="1226"/>
      <c r="N98" s="1226"/>
      <c r="O98" s="1226"/>
      <c r="P98" s="1226"/>
      <c r="Q98" s="1226"/>
      <c r="R98" s="1226"/>
      <c r="S98" s="251"/>
      <c r="T98" s="251"/>
      <c r="U98" s="251"/>
      <c r="V98" s="251"/>
      <c r="W98" s="1227"/>
      <c r="X98" s="1189"/>
      <c r="Y98" s="1189"/>
      <c r="Z98" s="1189"/>
      <c r="AA98" s="1189"/>
      <c r="AB98" s="1189"/>
      <c r="AC98" s="1189"/>
      <c r="AD98" s="1189"/>
      <c r="AE98" s="1189"/>
      <c r="AF98" s="1189"/>
      <c r="AG98" s="1189"/>
      <c r="AH98" s="1189"/>
      <c r="AI98" s="1189"/>
      <c r="AJ98" s="1189"/>
      <c r="AK98" s="1189"/>
      <c r="AL98" s="1189"/>
      <c r="AM98" s="1189"/>
      <c r="AN98" s="1189"/>
      <c r="AO98" s="1189"/>
      <c r="AP98" s="1189"/>
      <c r="AQ98" s="1189"/>
    </row>
    <row r="99" spans="1:43" s="1781" customFormat="1" ht="17.25" hidden="1" customHeight="1">
      <c r="A99" s="240"/>
      <c r="C99" s="239"/>
      <c r="D99" s="1861"/>
      <c r="E99" s="1863"/>
      <c r="F99" s="1866"/>
      <c r="G99" s="1863"/>
      <c r="H99" s="1228"/>
      <c r="I99" s="1229"/>
      <c r="J99" s="1229"/>
      <c r="K99" s="1229"/>
      <c r="L99" s="1229"/>
      <c r="M99" s="1229"/>
      <c r="N99" s="1229"/>
      <c r="O99" s="1229"/>
      <c r="P99" s="1229"/>
      <c r="Q99" s="1229"/>
      <c r="R99" s="1229"/>
      <c r="S99" s="1230"/>
      <c r="T99" s="1230"/>
      <c r="U99" s="1230"/>
      <c r="V99" s="1230"/>
      <c r="W99" s="1231"/>
      <c r="X99" s="1189"/>
      <c r="Y99" s="1189"/>
      <c r="Z99" s="1189"/>
      <c r="AA99" s="1189"/>
      <c r="AB99" s="1189"/>
      <c r="AC99" s="1189"/>
      <c r="AD99" s="1189"/>
      <c r="AE99" s="1189"/>
      <c r="AF99" s="1189"/>
      <c r="AG99" s="1189"/>
      <c r="AH99" s="1189"/>
      <c r="AI99" s="1189"/>
      <c r="AJ99" s="1189"/>
      <c r="AK99" s="1189"/>
      <c r="AL99" s="1189"/>
      <c r="AM99" s="1189"/>
      <c r="AN99" s="1189"/>
      <c r="AO99" s="1189"/>
      <c r="AP99" s="1189"/>
      <c r="AQ99" s="1189"/>
    </row>
    <row r="100" spans="1:43" s="1781" customFormat="1" ht="17.25" hidden="1" customHeight="1">
      <c r="A100" s="240"/>
      <c r="C100" s="126"/>
      <c r="D100" s="1860">
        <v>3</v>
      </c>
      <c r="E100" s="1862" t="s">
        <v>241</v>
      </c>
      <c r="F100" s="1864" t="s">
        <v>56</v>
      </c>
      <c r="G100" s="1862"/>
      <c r="H100" s="1867"/>
      <c r="I100" s="1869"/>
      <c r="J100" s="1871"/>
      <c r="K100" s="1858"/>
      <c r="L100" s="1858"/>
      <c r="M100" s="1858"/>
      <c r="N100" s="1874"/>
      <c r="O100" s="1858"/>
      <c r="P100" s="1858"/>
      <c r="Q100" s="1858"/>
      <c r="R100" s="1877"/>
      <c r="S100" s="1858"/>
      <c r="T100" s="1391"/>
      <c r="U100" s="1391"/>
      <c r="V100" s="1393"/>
      <c r="W100" s="1225"/>
      <c r="X100" s="1196"/>
      <c r="Y100" s="1196"/>
      <c r="Z100" s="1196"/>
      <c r="AA100" s="1196"/>
      <c r="AB100" s="1196"/>
      <c r="AC100" s="1196" t="s">
        <v>242</v>
      </c>
      <c r="AD100" s="1196" t="s">
        <v>243</v>
      </c>
      <c r="AE100" s="1196" t="s">
        <v>244</v>
      </c>
      <c r="AF100" s="1196" t="s">
        <v>245</v>
      </c>
      <c r="AG100" s="1196"/>
      <c r="AH100" s="1196" t="str">
        <f>IF($E$100=0,"",$E$100)</f>
        <v>Тариф на подключение (технологическое присоединение) к централизованной системе горячего водоснабжения</v>
      </c>
      <c r="AI100" s="1196" t="str">
        <f>IF($G$100=0,"",$G$100)</f>
        <v/>
      </c>
      <c r="AJ100" s="1196" t="str">
        <f>IF($J$100=0,"",$J$100)</f>
        <v/>
      </c>
      <c r="AK100" s="1196" t="str">
        <f>IF($K$100="нет","без дифференциации",IF($N$100=0,"",$N$100))</f>
        <v/>
      </c>
      <c r="AL100" s="1196" t="str">
        <f>IF($O$100="нет","без дифференциации",IF($R$100=0,"",$R$100))</f>
        <v/>
      </c>
      <c r="AM100" s="1196" t="str">
        <f>IF($S$100="нет","без дифференциации",IF($V$100=0,"",$V$100))</f>
        <v/>
      </c>
      <c r="AN100" s="1699">
        <f>$I$100</f>
        <v>0</v>
      </c>
      <c r="AO100" s="1196" t="str">
        <f>$I$100&amp;"."&amp;$M$100</f>
        <v>.</v>
      </c>
      <c r="AP100" s="1189" t="str">
        <f>$I$100&amp;"."&amp;$M$100&amp;"."&amp;$Q$100</f>
        <v>..</v>
      </c>
      <c r="AQ100" s="1189" t="str">
        <f>$I$100&amp;"."&amp;$M$100&amp;"."&amp;$Q$100&amp;"."&amp;$U$100</f>
        <v>...</v>
      </c>
    </row>
    <row r="101" spans="1:43" s="1781" customFormat="1" ht="17.25" hidden="1" customHeight="1">
      <c r="A101" s="240"/>
      <c r="C101" s="239"/>
      <c r="D101" s="1860"/>
      <c r="E101" s="1862"/>
      <c r="F101" s="1865"/>
      <c r="G101" s="1862"/>
      <c r="H101" s="1868"/>
      <c r="I101" s="1870"/>
      <c r="J101" s="1872"/>
      <c r="K101" s="1859"/>
      <c r="L101" s="1859"/>
      <c r="M101" s="1859"/>
      <c r="N101" s="1875"/>
      <c r="O101" s="1859"/>
      <c r="P101" s="1859"/>
      <c r="Q101" s="1859"/>
      <c r="R101" s="1876"/>
      <c r="S101" s="1859"/>
      <c r="T101" s="1226"/>
      <c r="U101" s="1226"/>
      <c r="V101" s="1226"/>
      <c r="W101" s="1227"/>
      <c r="X101" s="1189"/>
      <c r="Y101" s="1189"/>
      <c r="Z101" s="1189"/>
      <c r="AA101" s="1189"/>
      <c r="AB101" s="1189"/>
      <c r="AC101" s="1189"/>
      <c r="AD101" s="1189"/>
      <c r="AE101" s="1189"/>
      <c r="AF101" s="1189"/>
      <c r="AG101" s="1189"/>
      <c r="AH101" s="1189"/>
      <c r="AI101" s="1189"/>
      <c r="AJ101" s="1189"/>
      <c r="AK101" s="1189"/>
      <c r="AL101" s="1189"/>
      <c r="AM101" s="1189"/>
      <c r="AN101" s="1189"/>
      <c r="AO101" s="1189"/>
      <c r="AP101" s="1189"/>
      <c r="AQ101" s="1189"/>
    </row>
    <row r="102" spans="1:43" s="1781" customFormat="1" ht="17.25" hidden="1" customHeight="1">
      <c r="A102" s="240"/>
      <c r="C102" s="239"/>
      <c r="D102" s="1861"/>
      <c r="E102" s="1863"/>
      <c r="F102" s="1865"/>
      <c r="G102" s="1863"/>
      <c r="H102" s="1868"/>
      <c r="I102" s="1870"/>
      <c r="J102" s="1873"/>
      <c r="K102" s="1859"/>
      <c r="L102" s="1859"/>
      <c r="M102" s="1859"/>
      <c r="N102" s="1876"/>
      <c r="O102" s="1859"/>
      <c r="P102" s="1392"/>
      <c r="Q102" s="1226"/>
      <c r="R102" s="1226"/>
      <c r="S102" s="251"/>
      <c r="T102" s="251"/>
      <c r="U102" s="251"/>
      <c r="V102" s="251"/>
      <c r="W102" s="1227"/>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row>
    <row r="103" spans="1:43" s="1781" customFormat="1" ht="17.25" hidden="1" customHeight="1">
      <c r="A103" s="240"/>
      <c r="C103" s="239"/>
      <c r="D103" s="1861"/>
      <c r="E103" s="1863"/>
      <c r="F103" s="1865"/>
      <c r="G103" s="1863"/>
      <c r="H103" s="1868"/>
      <c r="I103" s="1870"/>
      <c r="J103" s="1873"/>
      <c r="K103" s="1859"/>
      <c r="L103" s="1226"/>
      <c r="M103" s="1226"/>
      <c r="N103" s="1226"/>
      <c r="O103" s="1226"/>
      <c r="P103" s="1226"/>
      <c r="Q103" s="1226"/>
      <c r="R103" s="1226"/>
      <c r="S103" s="251"/>
      <c r="T103" s="251"/>
      <c r="U103" s="251"/>
      <c r="V103" s="251"/>
      <c r="W103" s="1227"/>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row>
    <row r="104" spans="1:43" s="1781" customFormat="1" ht="17.25" hidden="1" customHeight="1">
      <c r="A104" s="240"/>
      <c r="C104" s="239"/>
      <c r="D104" s="1861"/>
      <c r="E104" s="1863"/>
      <c r="F104" s="1866"/>
      <c r="G104" s="1863"/>
      <c r="H104" s="1228"/>
      <c r="I104" s="1229"/>
      <c r="J104" s="1229"/>
      <c r="K104" s="1229"/>
      <c r="L104" s="1229"/>
      <c r="M104" s="1229"/>
      <c r="N104" s="1229"/>
      <c r="O104" s="1229"/>
      <c r="P104" s="1229"/>
      <c r="Q104" s="1229"/>
      <c r="R104" s="1229"/>
      <c r="S104" s="1230"/>
      <c r="T104" s="1230"/>
      <c r="U104" s="1230"/>
      <c r="V104" s="1230"/>
      <c r="W104" s="1231"/>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row>
    <row r="105" spans="1:43" s="1781" customFormat="1" ht="11.25" customHeight="1">
      <c r="A105" s="191"/>
      <c r="B105" s="191"/>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row>
    <row r="106" spans="1:43" s="1781" customFormat="1" ht="17.25" hidden="1" customHeight="1">
      <c r="A106" s="240"/>
      <c r="C106" s="126"/>
      <c r="D106" s="1860">
        <v>1</v>
      </c>
      <c r="E106" s="1862" t="s">
        <v>246</v>
      </c>
      <c r="F106" s="1864" t="s">
        <v>56</v>
      </c>
      <c r="G106" s="1862"/>
      <c r="H106" s="1867"/>
      <c r="I106" s="1869"/>
      <c r="J106" s="1871"/>
      <c r="K106" s="1858"/>
      <c r="L106" s="1858"/>
      <c r="M106" s="1858"/>
      <c r="N106" s="1874"/>
      <c r="O106" s="1858"/>
      <c r="P106" s="1858"/>
      <c r="Q106" s="1858"/>
      <c r="R106" s="1877"/>
      <c r="S106" s="1858"/>
      <c r="T106" s="1391"/>
      <c r="U106" s="1391"/>
      <c r="V106" s="1393"/>
      <c r="W106" s="1225"/>
      <c r="Y106" s="1196"/>
      <c r="Z106" s="1196"/>
      <c r="AA106" s="1196"/>
      <c r="AB106" s="1196"/>
      <c r="AC106" s="1196" t="s">
        <v>247</v>
      </c>
      <c r="AD106" s="1196" t="s">
        <v>248</v>
      </c>
      <c r="AE106" s="1196" t="s">
        <v>249</v>
      </c>
      <c r="AF106" s="1196" t="s">
        <v>250</v>
      </c>
      <c r="AG106" s="1196"/>
      <c r="AH106" s="1196" t="str">
        <f>IF($E$106=0,"",$E$106)</f>
        <v>Тариф на водоотведение</v>
      </c>
      <c r="AI106" s="1196" t="str">
        <f>IF($G$106=0,"",$G$106)</f>
        <v/>
      </c>
      <c r="AJ106" s="1196" t="str">
        <f>IF($J$106=0,"",$J$106)</f>
        <v/>
      </c>
      <c r="AK106" s="1196" t="str">
        <f>IF($K$106="нет","без дифференциации",IF($N$106=0,"",$N$106))</f>
        <v/>
      </c>
      <c r="AL106" s="1196" t="str">
        <f>IF($O$106="нет","без дифференциации",IF($R$106=0,"",$R$106))</f>
        <v/>
      </c>
      <c r="AM106" s="1196" t="str">
        <f>IF($S$106="нет","без дифференциации",IF($V$106=0,"",$V$106))</f>
        <v/>
      </c>
      <c r="AN106" s="1196">
        <f>$I$106</f>
        <v>0</v>
      </c>
      <c r="AO106" s="1196" t="str">
        <f>$I$106&amp;"."&amp;$M$106</f>
        <v>.</v>
      </c>
      <c r="AP106" s="1196" t="str">
        <f>$I$106&amp;"."&amp;$M$106&amp;"."&amp;$Q$106</f>
        <v>..</v>
      </c>
      <c r="AQ106" s="1196" t="str">
        <f>$I$106&amp;"."&amp;$M$106&amp;"."&amp;$Q$106&amp;"."&amp;$U$106</f>
        <v>...</v>
      </c>
    </row>
    <row r="107" spans="1:43" s="1781" customFormat="1" ht="17.25" hidden="1" customHeight="1">
      <c r="A107" s="240"/>
      <c r="C107" s="239"/>
      <c r="D107" s="1860"/>
      <c r="E107" s="1862"/>
      <c r="F107" s="1865"/>
      <c r="G107" s="1862"/>
      <c r="H107" s="1868"/>
      <c r="I107" s="1870"/>
      <c r="J107" s="1872"/>
      <c r="K107" s="1859"/>
      <c r="L107" s="1859"/>
      <c r="M107" s="1859"/>
      <c r="N107" s="1875"/>
      <c r="O107" s="1859"/>
      <c r="P107" s="1859"/>
      <c r="Q107" s="1859"/>
      <c r="R107" s="1876"/>
      <c r="S107" s="1859"/>
      <c r="T107" s="1226"/>
      <c r="U107" s="1226"/>
      <c r="V107" s="1226"/>
      <c r="W107" s="1227"/>
      <c r="Y107" s="1189"/>
      <c r="Z107" s="1189"/>
      <c r="AA107" s="1189"/>
      <c r="AB107" s="1189"/>
      <c r="AC107" s="1189"/>
      <c r="AD107" s="1189"/>
      <c r="AE107" s="1189"/>
      <c r="AF107" s="1189"/>
      <c r="AG107" s="1189"/>
      <c r="AH107" s="1189"/>
      <c r="AI107" s="1189"/>
      <c r="AJ107" s="1189"/>
      <c r="AK107" s="1189"/>
      <c r="AL107" s="1189"/>
      <c r="AM107" s="1189"/>
      <c r="AN107" s="1189"/>
      <c r="AO107" s="1189"/>
      <c r="AP107" s="1189"/>
      <c r="AQ107" s="1189"/>
    </row>
    <row r="108" spans="1:43" s="1781" customFormat="1" ht="17.25" hidden="1" customHeight="1">
      <c r="A108" s="240"/>
      <c r="C108" s="126"/>
      <c r="D108" s="1860"/>
      <c r="E108" s="1862"/>
      <c r="F108" s="1865"/>
      <c r="G108" s="1862"/>
      <c r="H108" s="1868"/>
      <c r="I108" s="1870"/>
      <c r="J108" s="1873"/>
      <c r="K108" s="1859"/>
      <c r="L108" s="1859"/>
      <c r="M108" s="1859"/>
      <c r="N108" s="1876"/>
      <c r="O108" s="1859"/>
      <c r="P108" s="1392"/>
      <c r="Q108" s="1226"/>
      <c r="R108" s="1226"/>
      <c r="S108" s="251"/>
      <c r="T108" s="251"/>
      <c r="U108" s="251"/>
      <c r="V108" s="251"/>
      <c r="W108" s="1227"/>
      <c r="Y108" s="1196"/>
      <c r="Z108" s="1196"/>
      <c r="AA108" s="1196"/>
      <c r="AB108" s="1196"/>
      <c r="AC108" s="1196"/>
      <c r="AD108" s="1196"/>
      <c r="AE108" s="1196"/>
      <c r="AF108" s="1196"/>
      <c r="AG108" s="1196"/>
      <c r="AH108" s="1196"/>
      <c r="AI108" s="1196"/>
      <c r="AJ108" s="1196"/>
      <c r="AK108" s="1196"/>
      <c r="AL108" s="1196"/>
      <c r="AM108" s="1196"/>
      <c r="AN108" s="1196"/>
      <c r="AO108" s="1196"/>
      <c r="AP108" s="1196"/>
      <c r="AQ108" s="1196"/>
    </row>
    <row r="109" spans="1:43" s="1781" customFormat="1" ht="17.25" hidden="1" customHeight="1">
      <c r="A109" s="240"/>
      <c r="C109" s="239"/>
      <c r="D109" s="1860"/>
      <c r="E109" s="1862"/>
      <c r="F109" s="1865"/>
      <c r="G109" s="1862"/>
      <c r="H109" s="1868"/>
      <c r="I109" s="1870"/>
      <c r="J109" s="1873"/>
      <c r="K109" s="1859"/>
      <c r="L109" s="1226"/>
      <c r="M109" s="1226"/>
      <c r="N109" s="1226"/>
      <c r="O109" s="1226"/>
      <c r="P109" s="1226"/>
      <c r="Q109" s="1226"/>
      <c r="R109" s="1226"/>
      <c r="S109" s="251"/>
      <c r="T109" s="251"/>
      <c r="U109" s="251"/>
      <c r="V109" s="251"/>
      <c r="W109" s="1227"/>
      <c r="Y109" s="1189"/>
      <c r="Z109" s="1189"/>
      <c r="AA109" s="1189"/>
      <c r="AB109" s="1189"/>
      <c r="AC109" s="1189"/>
      <c r="AD109" s="1189"/>
      <c r="AE109" s="1189"/>
      <c r="AF109" s="1189"/>
      <c r="AG109" s="1189"/>
      <c r="AH109" s="1189"/>
      <c r="AI109" s="1189"/>
      <c r="AJ109" s="1189"/>
      <c r="AK109" s="1189"/>
      <c r="AL109" s="1189"/>
      <c r="AM109" s="1189"/>
      <c r="AN109" s="1189"/>
      <c r="AO109" s="1189"/>
      <c r="AP109" s="1189"/>
      <c r="AQ109" s="1189"/>
    </row>
    <row r="110" spans="1:43" s="1781" customFormat="1" ht="17.25" hidden="1" customHeight="1">
      <c r="A110" s="240"/>
      <c r="C110" s="239"/>
      <c r="D110" s="1861"/>
      <c r="E110" s="1863"/>
      <c r="F110" s="1866"/>
      <c r="G110" s="1863"/>
      <c r="H110" s="1228"/>
      <c r="I110" s="1229"/>
      <c r="J110" s="1229"/>
      <c r="K110" s="1229"/>
      <c r="L110" s="1229"/>
      <c r="M110" s="1229"/>
      <c r="N110" s="1229"/>
      <c r="O110" s="1229"/>
      <c r="P110" s="1229"/>
      <c r="Q110" s="1229"/>
      <c r="R110" s="1229"/>
      <c r="S110" s="1230"/>
      <c r="T110" s="1230"/>
      <c r="U110" s="1230"/>
      <c r="V110" s="1230"/>
      <c r="W110" s="1231"/>
      <c r="Y110" s="1189"/>
      <c r="Z110" s="1189"/>
      <c r="AA110" s="1189"/>
      <c r="AB110" s="1189"/>
      <c r="AC110" s="1189"/>
      <c r="AD110" s="1189"/>
      <c r="AE110" s="1189"/>
      <c r="AF110" s="1189"/>
      <c r="AG110" s="1189"/>
      <c r="AH110" s="1189"/>
      <c r="AI110" s="1189"/>
      <c r="AJ110" s="1189"/>
      <c r="AK110" s="1189"/>
      <c r="AL110" s="1189"/>
      <c r="AM110" s="1189"/>
      <c r="AN110" s="1189"/>
      <c r="AO110" s="1189"/>
      <c r="AP110" s="1189"/>
      <c r="AQ110" s="1189"/>
    </row>
    <row r="111" spans="1:43" s="1781" customFormat="1" ht="17.25" hidden="1" customHeight="1">
      <c r="A111" s="240"/>
      <c r="C111" s="126"/>
      <c r="D111" s="1860">
        <v>2</v>
      </c>
      <c r="E111" s="1862" t="s">
        <v>251</v>
      </c>
      <c r="F111" s="1864" t="s">
        <v>56</v>
      </c>
      <c r="G111" s="1862"/>
      <c r="H111" s="1867"/>
      <c r="I111" s="1869"/>
      <c r="J111" s="1871"/>
      <c r="K111" s="1858"/>
      <c r="L111" s="1858"/>
      <c r="M111" s="1858"/>
      <c r="N111" s="1874"/>
      <c r="O111" s="1858"/>
      <c r="P111" s="1858"/>
      <c r="Q111" s="1858"/>
      <c r="R111" s="1877"/>
      <c r="S111" s="1858"/>
      <c r="T111" s="1391"/>
      <c r="U111" s="1391"/>
      <c r="V111" s="1393"/>
      <c r="W111" s="1225"/>
      <c r="X111" s="1196"/>
      <c r="Y111" s="1196"/>
      <c r="Z111" s="1196"/>
      <c r="AA111" s="1196"/>
      <c r="AB111" s="1196"/>
      <c r="AC111" s="1196" t="s">
        <v>252</v>
      </c>
      <c r="AD111" s="1196" t="s">
        <v>253</v>
      </c>
      <c r="AE111" s="1196" t="s">
        <v>254</v>
      </c>
      <c r="AF111" s="1196" t="s">
        <v>255</v>
      </c>
      <c r="AG111" s="1196"/>
      <c r="AH111" s="1196" t="str">
        <f>IF($E$111=0,"",$E$111)</f>
        <v>Тариф на транспортировку сточных вод</v>
      </c>
      <c r="AI111" s="1196" t="str">
        <f>IF($G$111=0,"",$G$111)</f>
        <v/>
      </c>
      <c r="AJ111" s="1196" t="str">
        <f>IF($J$111=0,"",$J$111)</f>
        <v/>
      </c>
      <c r="AK111" s="1196" t="str">
        <f>IF($K$111="нет","без дифференциации",IF($N$111=0,"",$N$111))</f>
        <v/>
      </c>
      <c r="AL111" s="1196" t="str">
        <f>IF($O$111="нет","без дифференциации",IF($R$111=0,"",$R$111))</f>
        <v/>
      </c>
      <c r="AM111" s="1196" t="str">
        <f>IF($S$111="нет","без дифференциации",IF($V$111=0,"",$V$111))</f>
        <v/>
      </c>
      <c r="AN111" s="1699">
        <f>$I$111</f>
        <v>0</v>
      </c>
      <c r="AO111" s="1196" t="str">
        <f>$I$111&amp;"."&amp;$M$111</f>
        <v>.</v>
      </c>
      <c r="AP111" s="1189" t="str">
        <f>$I$111&amp;"."&amp;$M$111&amp;"."&amp;$Q$111</f>
        <v>..</v>
      </c>
      <c r="AQ111" s="1189" t="str">
        <f>$I$111&amp;"."&amp;$M$111&amp;"."&amp;$Q$111&amp;"."&amp;$U$111</f>
        <v>...</v>
      </c>
    </row>
    <row r="112" spans="1:43" s="1781" customFormat="1" ht="17.25" hidden="1" customHeight="1">
      <c r="A112" s="240"/>
      <c r="C112" s="239"/>
      <c r="D112" s="1860"/>
      <c r="E112" s="1862"/>
      <c r="F112" s="1865"/>
      <c r="G112" s="1862"/>
      <c r="H112" s="1868"/>
      <c r="I112" s="1870"/>
      <c r="J112" s="1872"/>
      <c r="K112" s="1859"/>
      <c r="L112" s="1859"/>
      <c r="M112" s="1859"/>
      <c r="N112" s="1875"/>
      <c r="O112" s="1859"/>
      <c r="P112" s="1859"/>
      <c r="Q112" s="1859"/>
      <c r="R112" s="1876"/>
      <c r="S112" s="1859"/>
      <c r="T112" s="1226"/>
      <c r="U112" s="1226"/>
      <c r="V112" s="1226"/>
      <c r="W112" s="1227"/>
      <c r="X112" s="1189"/>
      <c r="Y112" s="1189"/>
      <c r="Z112" s="1189"/>
      <c r="AA112" s="1189"/>
      <c r="AB112" s="1189"/>
      <c r="AC112" s="1189"/>
      <c r="AD112" s="1189"/>
      <c r="AE112" s="1189"/>
      <c r="AF112" s="1189"/>
      <c r="AG112" s="1189"/>
      <c r="AH112" s="1189"/>
      <c r="AI112" s="1189"/>
      <c r="AJ112" s="1189"/>
      <c r="AK112" s="1189"/>
      <c r="AL112" s="1189"/>
      <c r="AM112" s="1189"/>
      <c r="AN112" s="1189"/>
      <c r="AO112" s="1189"/>
      <c r="AP112" s="1189"/>
      <c r="AQ112" s="1189"/>
    </row>
    <row r="113" spans="1:43" s="1781" customFormat="1" ht="17.25" hidden="1" customHeight="1">
      <c r="A113" s="240"/>
      <c r="C113" s="239"/>
      <c r="D113" s="1861"/>
      <c r="E113" s="1863"/>
      <c r="F113" s="1865"/>
      <c r="G113" s="1863"/>
      <c r="H113" s="1868"/>
      <c r="I113" s="1870"/>
      <c r="J113" s="1873"/>
      <c r="K113" s="1859"/>
      <c r="L113" s="1859"/>
      <c r="M113" s="1859"/>
      <c r="N113" s="1876"/>
      <c r="O113" s="1859"/>
      <c r="P113" s="1392"/>
      <c r="Q113" s="1226"/>
      <c r="R113" s="1226"/>
      <c r="S113" s="251"/>
      <c r="T113" s="251"/>
      <c r="U113" s="251"/>
      <c r="V113" s="251"/>
      <c r="W113" s="1227"/>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row>
    <row r="114" spans="1:43" s="1781" customFormat="1" ht="17.25" hidden="1" customHeight="1">
      <c r="A114" s="240"/>
      <c r="C114" s="239"/>
      <c r="D114" s="1861"/>
      <c r="E114" s="1863"/>
      <c r="F114" s="1865"/>
      <c r="G114" s="1863"/>
      <c r="H114" s="1868"/>
      <c r="I114" s="1870"/>
      <c r="J114" s="1873"/>
      <c r="K114" s="1859"/>
      <c r="L114" s="1226"/>
      <c r="M114" s="1226"/>
      <c r="N114" s="1226"/>
      <c r="O114" s="1226"/>
      <c r="P114" s="1226"/>
      <c r="Q114" s="1226"/>
      <c r="R114" s="1226"/>
      <c r="S114" s="251"/>
      <c r="T114" s="251"/>
      <c r="U114" s="251"/>
      <c r="V114" s="251"/>
      <c r="W114" s="1227"/>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row>
    <row r="115" spans="1:43" s="1781" customFormat="1" ht="17.25" hidden="1" customHeight="1">
      <c r="A115" s="240"/>
      <c r="C115" s="239"/>
      <c r="D115" s="1861"/>
      <c r="E115" s="1863"/>
      <c r="F115" s="1866"/>
      <c r="G115" s="1863"/>
      <c r="H115" s="1228"/>
      <c r="I115" s="1229"/>
      <c r="J115" s="1229"/>
      <c r="K115" s="1229"/>
      <c r="L115" s="1229"/>
      <c r="M115" s="1229"/>
      <c r="N115" s="1229"/>
      <c r="O115" s="1229"/>
      <c r="P115" s="1229"/>
      <c r="Q115" s="1229"/>
      <c r="R115" s="1229"/>
      <c r="S115" s="1230"/>
      <c r="T115" s="1230"/>
      <c r="U115" s="1230"/>
      <c r="V115" s="1230"/>
      <c r="W115" s="1231"/>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row>
    <row r="116" spans="1:43" s="1781" customFormat="1" ht="17.25" hidden="1" customHeight="1">
      <c r="A116" s="240"/>
      <c r="C116" s="126"/>
      <c r="D116" s="1860">
        <v>3</v>
      </c>
      <c r="E116" s="1862" t="s">
        <v>256</v>
      </c>
      <c r="F116" s="1864" t="s">
        <v>56</v>
      </c>
      <c r="G116" s="1862"/>
      <c r="H116" s="1867"/>
      <c r="I116" s="1869"/>
      <c r="J116" s="1871"/>
      <c r="K116" s="1858"/>
      <c r="L116" s="1858"/>
      <c r="M116" s="1858"/>
      <c r="N116" s="1874"/>
      <c r="O116" s="1858"/>
      <c r="P116" s="1858"/>
      <c r="Q116" s="1858"/>
      <c r="R116" s="1877"/>
      <c r="S116" s="1858"/>
      <c r="T116" s="1391"/>
      <c r="U116" s="1391"/>
      <c r="V116" s="1393"/>
      <c r="W116" s="1225"/>
      <c r="X116" s="1196"/>
      <c r="Y116" s="1196"/>
      <c r="Z116" s="1196"/>
      <c r="AA116" s="1196"/>
      <c r="AB116" s="1196"/>
      <c r="AC116" s="1196" t="s">
        <v>257</v>
      </c>
      <c r="AD116" s="1196" t="s">
        <v>258</v>
      </c>
      <c r="AE116" s="1196" t="s">
        <v>259</v>
      </c>
      <c r="AF116" s="1196" t="s">
        <v>260</v>
      </c>
      <c r="AG116" s="1196"/>
      <c r="AH116" s="1196" t="str">
        <f>IF($E$116=0,"",$E$116)</f>
        <v>Тариф на подключение (технологическое присоединение) к централизованной системе водоотведения</v>
      </c>
      <c r="AI116" s="1196" t="str">
        <f>IF($G$116=0,"",$G$116)</f>
        <v/>
      </c>
      <c r="AJ116" s="1196" t="str">
        <f>IF($J$116=0,"",$J$116)</f>
        <v/>
      </c>
      <c r="AK116" s="1196" t="str">
        <f>IF($K$116="нет","без дифференциации",IF($N$116=0,"",$N$116))</f>
        <v/>
      </c>
      <c r="AL116" s="1196" t="str">
        <f>IF($O$116="нет","без дифференциации",IF($R$116=0,"",$R$116))</f>
        <v/>
      </c>
      <c r="AM116" s="1196" t="str">
        <f>IF($S$116="нет","без дифференциации",IF($V$116=0,"",$V$116))</f>
        <v/>
      </c>
      <c r="AN116" s="1699">
        <f>$I$116</f>
        <v>0</v>
      </c>
      <c r="AO116" s="1196" t="str">
        <f>$I$116&amp;"."&amp;$M$116</f>
        <v>.</v>
      </c>
      <c r="AP116" s="1189" t="str">
        <f>$I$116&amp;"."&amp;$M$116&amp;"."&amp;$Q$116</f>
        <v>..</v>
      </c>
      <c r="AQ116" s="1189" t="str">
        <f>$I$116&amp;"."&amp;$M$116&amp;"."&amp;$Q$116&amp;"."&amp;$U$116</f>
        <v>...</v>
      </c>
    </row>
    <row r="117" spans="1:43" s="1781" customFormat="1" ht="17.25" hidden="1" customHeight="1">
      <c r="A117" s="240"/>
      <c r="C117" s="239"/>
      <c r="D117" s="1860"/>
      <c r="E117" s="1862"/>
      <c r="F117" s="1865"/>
      <c r="G117" s="1862"/>
      <c r="H117" s="1868"/>
      <c r="I117" s="1870"/>
      <c r="J117" s="1872"/>
      <c r="K117" s="1859"/>
      <c r="L117" s="1859"/>
      <c r="M117" s="1859"/>
      <c r="N117" s="1875"/>
      <c r="O117" s="1859"/>
      <c r="P117" s="1859"/>
      <c r="Q117" s="1859"/>
      <c r="R117" s="1876"/>
      <c r="S117" s="1859"/>
      <c r="T117" s="1226"/>
      <c r="U117" s="1226"/>
      <c r="V117" s="1226"/>
      <c r="W117" s="1227"/>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row>
    <row r="118" spans="1:43" s="1781" customFormat="1" ht="17.25" hidden="1" customHeight="1">
      <c r="A118" s="240"/>
      <c r="C118" s="239"/>
      <c r="D118" s="1861"/>
      <c r="E118" s="1863"/>
      <c r="F118" s="1865"/>
      <c r="G118" s="1863"/>
      <c r="H118" s="1868"/>
      <c r="I118" s="1870"/>
      <c r="J118" s="1873"/>
      <c r="K118" s="1859"/>
      <c r="L118" s="1859"/>
      <c r="M118" s="1859"/>
      <c r="N118" s="1876"/>
      <c r="O118" s="1859"/>
      <c r="P118" s="1392"/>
      <c r="Q118" s="1226"/>
      <c r="R118" s="1226"/>
      <c r="S118" s="251"/>
      <c r="T118" s="251"/>
      <c r="U118" s="251"/>
      <c r="V118" s="251"/>
      <c r="W118" s="1227"/>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row>
    <row r="119" spans="1:43" s="1781" customFormat="1" ht="17.25" hidden="1" customHeight="1">
      <c r="A119" s="240"/>
      <c r="C119" s="239"/>
      <c r="D119" s="1861"/>
      <c r="E119" s="1863"/>
      <c r="F119" s="1865"/>
      <c r="G119" s="1863"/>
      <c r="H119" s="1868"/>
      <c r="I119" s="1870"/>
      <c r="J119" s="1873"/>
      <c r="K119" s="1859"/>
      <c r="L119" s="1226"/>
      <c r="M119" s="1226"/>
      <c r="N119" s="1226"/>
      <c r="O119" s="1226"/>
      <c r="P119" s="1226"/>
      <c r="Q119" s="1226"/>
      <c r="R119" s="1226"/>
      <c r="S119" s="251"/>
      <c r="T119" s="251"/>
      <c r="U119" s="251"/>
      <c r="V119" s="251"/>
      <c r="W119" s="1227"/>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row>
    <row r="120" spans="1:43" s="1781" customFormat="1" ht="17.25" hidden="1" customHeight="1">
      <c r="A120" s="240"/>
      <c r="C120" s="239"/>
      <c r="D120" s="1861"/>
      <c r="E120" s="1863"/>
      <c r="F120" s="1866"/>
      <c r="G120" s="1863"/>
      <c r="H120" s="1228"/>
      <c r="I120" s="1229"/>
      <c r="J120" s="1229"/>
      <c r="K120" s="1229"/>
      <c r="L120" s="1229"/>
      <c r="M120" s="1229"/>
      <c r="N120" s="1229"/>
      <c r="O120" s="1229"/>
      <c r="P120" s="1229"/>
      <c r="Q120" s="1229"/>
      <c r="R120" s="1229"/>
      <c r="S120" s="1230"/>
      <c r="T120" s="1230"/>
      <c r="U120" s="1230"/>
      <c r="V120" s="1230"/>
      <c r="W120" s="1231"/>
      <c r="X120" s="1189"/>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row>
    <row r="124" spans="1:43" ht="11.25" customHeight="1">
      <c r="E124" s="1277"/>
    </row>
    <row r="125" spans="1:43" ht="11.25" customHeight="1">
      <c r="E125" s="1277"/>
    </row>
    <row r="126" spans="1:43" ht="11.25" customHeight="1">
      <c r="E126" s="1277"/>
    </row>
    <row r="127" spans="1:43" ht="11.25" customHeight="1">
      <c r="E127" s="1277"/>
    </row>
    <row r="128" spans="1:43" ht="11.25" customHeight="1">
      <c r="E128" s="1277"/>
    </row>
    <row r="129" spans="5:5" ht="11.25" customHeight="1">
      <c r="E129" s="1277"/>
    </row>
    <row r="130" spans="5:5" ht="11.25" customHeight="1">
      <c r="E130" s="1277"/>
    </row>
  </sheetData>
  <sheetProtection formatColumns="0" formatRows="0" insertRows="0" deleteColumns="0" deleteRows="0" sort="0" autoFilter="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413"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407"/>
      <c r="Q3" s="273"/>
      <c r="R3" s="274"/>
      <c r="S3" s="1413"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413" t="e">
        <f>INDEX(PT_DIFFERENTIATION_NUM_CS,MATCH(C4,PT_DIFFERENTIATION_CS_ID,0))</f>
        <v>#N/A</v>
      </c>
      <c r="T4" s="225" t="s">
        <v>2098</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2099</v>
      </c>
      <c r="AM4" s="426"/>
      <c r="AN4" s="426" t="str">
        <f t="shared" si="0"/>
        <v>Наименование централизованной системы горячего водоснабжения</v>
      </c>
      <c r="AO4" s="426"/>
      <c r="AP4" s="426"/>
    </row>
    <row r="5" spans="1:42" ht="23.25" hidden="1" customHeight="1">
      <c r="A5" s="1289"/>
      <c r="B5" s="1289"/>
      <c r="C5" s="1289"/>
      <c r="D5" s="1289"/>
      <c r="E5" s="2043"/>
      <c r="F5" s="2043"/>
      <c r="G5" s="2043"/>
      <c r="H5" s="2043"/>
      <c r="I5" s="2044" t="e">
        <f>S4&amp;".1"</f>
        <v>#N/A</v>
      </c>
      <c r="J5" s="1289"/>
      <c r="K5" s="1289"/>
      <c r="L5" s="1290"/>
      <c r="P5" s="1961">
        <v>1</v>
      </c>
      <c r="Q5" s="1401"/>
      <c r="R5" s="277"/>
      <c r="S5" s="1413"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413"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413"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410"/>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401"/>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414"/>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98"/>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98"/>
      <c r="M19" s="1288"/>
      <c r="N19" s="1288"/>
      <c r="O19" s="1288"/>
      <c r="P19" s="1288"/>
      <c r="Q19" s="1297"/>
      <c r="R19" s="1297"/>
      <c r="S19" s="649"/>
      <c r="AL19" s="437"/>
      <c r="AM19" s="437"/>
      <c r="AN19" s="437"/>
      <c r="AO19" s="437"/>
      <c r="AP19" s="437"/>
    </row>
    <row r="20" spans="1:42" s="1292" customFormat="1" ht="12" hidden="1" customHeight="1">
      <c r="L20" s="1398"/>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408"/>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403" t="s">
        <v>2100</v>
      </c>
      <c r="W38" s="1822" t="s">
        <v>2101</v>
      </c>
      <c r="X38" s="1821"/>
      <c r="Y38" s="1822" t="s">
        <v>508</v>
      </c>
      <c r="Z38" s="1827"/>
      <c r="AA38" s="1821"/>
      <c r="AB38" s="2059"/>
      <c r="AC38" s="1403" t="s">
        <v>2100</v>
      </c>
      <c r="AD38" s="1822" t="s">
        <v>2101</v>
      </c>
      <c r="AE38" s="1821"/>
      <c r="AF38" s="1822" t="s">
        <v>508</v>
      </c>
      <c r="AG38" s="1827"/>
      <c r="AH38" s="1821"/>
      <c r="AI38" s="2059"/>
      <c r="AJ38" s="2062"/>
      <c r="AK38" s="1840"/>
    </row>
    <row r="39" spans="1:42" ht="86.2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403" t="s">
        <v>2102</v>
      </c>
      <c r="W39" s="1138" t="s">
        <v>2103</v>
      </c>
      <c r="X39" s="1138" t="s">
        <v>2104</v>
      </c>
      <c r="Y39" s="1409" t="s">
        <v>518</v>
      </c>
      <c r="Z39" s="1931" t="s">
        <v>519</v>
      </c>
      <c r="AA39" s="1945"/>
      <c r="AB39" s="2060"/>
      <c r="AC39" s="1403" t="s">
        <v>2102</v>
      </c>
      <c r="AD39" s="1138" t="s">
        <v>2103</v>
      </c>
      <c r="AE39" s="1138" t="s">
        <v>2104</v>
      </c>
      <c r="AF39" s="1409" t="s">
        <v>518</v>
      </c>
      <c r="AG39" s="1931" t="s">
        <v>519</v>
      </c>
      <c r="AH39" s="1945"/>
      <c r="AI39" s="2060"/>
      <c r="AJ39" s="2063"/>
      <c r="AK39" s="1840"/>
    </row>
    <row r="40" spans="1:42" s="1566" customFormat="1" ht="11.25"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402">
        <f ca="1">OFFSET(V40,0,-1)+1</f>
        <v>3</v>
      </c>
      <c r="W40" s="1402">
        <f ca="1">OFFSET(W40,0,-1)+1</f>
        <v>4</v>
      </c>
      <c r="X40" s="1402">
        <f ca="1">OFFSET(X40,0,-1)+1</f>
        <v>5</v>
      </c>
      <c r="Y40" s="1402">
        <f ca="1">OFFSET(Y40,0,-1)+1</f>
        <v>6</v>
      </c>
      <c r="Z40" s="2052">
        <f ca="1">OFFSET(Z40,0,-1)+1</f>
        <v>7</v>
      </c>
      <c r="AA40" s="2052"/>
      <c r="AB40" s="1402">
        <f ca="1">OFFSET(AB40,0,-2)+1</f>
        <v>8</v>
      </c>
      <c r="AC40" s="1402">
        <f ca="1">OFFSET(AC40,0,-1)+1</f>
        <v>9</v>
      </c>
      <c r="AD40" s="1402">
        <f ca="1">OFFSET(AD40,0,-1)+1</f>
        <v>10</v>
      </c>
      <c r="AE40" s="1402">
        <f ca="1">OFFSET(AE40,0,-1)+1</f>
        <v>11</v>
      </c>
      <c r="AF40" s="1402">
        <f ca="1">OFFSET(AF40,0,-1)+1</f>
        <v>12</v>
      </c>
      <c r="AG40" s="2052">
        <f ca="1">OFFSET(AG40,0,-1)+1</f>
        <v>13</v>
      </c>
      <c r="AH40" s="2052"/>
      <c r="AI40" s="1402">
        <f ca="1">OFFSET(AI40,0,-2)+1</f>
        <v>14</v>
      </c>
      <c r="AJ40" s="1164">
        <f ca="1">OFFSET(AJ40,0,-1)</f>
        <v>14</v>
      </c>
      <c r="AK40" s="1402">
        <f ca="1">OFFSET(AK40,0,-1)+1</f>
        <v>15</v>
      </c>
      <c r="AL40" s="437"/>
      <c r="AM40" s="437"/>
      <c r="AN40" s="437"/>
      <c r="AO40" s="437"/>
      <c r="AP40" s="437"/>
    </row>
    <row r="41" spans="1:42" ht="23.25" customHeight="1">
      <c r="A41" s="1289" t="s">
        <v>233</v>
      </c>
      <c r="B41" s="1289"/>
      <c r="C41" s="1289"/>
      <c r="D41" s="1289"/>
      <c r="E41" s="2042">
        <v>1</v>
      </c>
      <c r="F41" s="1289"/>
      <c r="G41" s="1289"/>
      <c r="H41" s="1289"/>
      <c r="I41" s="1289"/>
      <c r="J41" s="1289"/>
      <c r="K41" s="1289"/>
      <c r="L41" s="1290"/>
      <c r="M41" s="1291"/>
      <c r="N41" s="1291"/>
      <c r="O41" s="1291"/>
      <c r="P41" s="282"/>
      <c r="Q41" s="281"/>
      <c r="R41" s="276"/>
      <c r="S41" s="1413">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233</v>
      </c>
      <c r="B42" s="1289" t="s">
        <v>234</v>
      </c>
      <c r="C42" s="1289"/>
      <c r="D42" s="1289"/>
      <c r="E42" s="2043"/>
      <c r="F42" s="2042">
        <v>1</v>
      </c>
      <c r="G42" s="1289"/>
      <c r="H42" s="1289"/>
      <c r="I42" s="1289"/>
      <c r="J42" s="1289"/>
      <c r="K42" s="1289"/>
      <c r="L42" s="1290"/>
      <c r="M42" s="1291"/>
      <c r="N42" s="1291"/>
      <c r="O42" s="1291"/>
      <c r="P42" s="1407"/>
      <c r="Q42" s="273"/>
      <c r="R42" s="274"/>
      <c r="S42" s="1413"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233</v>
      </c>
      <c r="B43" s="1289" t="s">
        <v>234</v>
      </c>
      <c r="C43" s="1289" t="s">
        <v>235</v>
      </c>
      <c r="D43" s="1289"/>
      <c r="E43" s="2043"/>
      <c r="F43" s="2043"/>
      <c r="G43" s="2042">
        <v>1</v>
      </c>
      <c r="H43" s="1289"/>
      <c r="I43" s="1289"/>
      <c r="J43" s="1289"/>
      <c r="K43" s="1289"/>
      <c r="L43" s="1290"/>
      <c r="M43" s="1291"/>
      <c r="N43" s="1291"/>
      <c r="O43" s="1291"/>
      <c r="P43" s="275"/>
      <c r="Q43" s="273"/>
      <c r="R43" s="274"/>
      <c r="S43" s="1413" t="str">
        <f>INDEX(PT_DIFFERENTIATION_NUM_CS,MATCH(C43,PT_DIFFERENTIATION_CS_ID,0))</f>
        <v>..</v>
      </c>
      <c r="T43" s="225" t="s">
        <v>2098</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2099</v>
      </c>
      <c r="AM43" s="426"/>
      <c r="AN43" s="426" t="str">
        <f t="shared" si="1"/>
        <v>Наименование централизованной системы горячего водоснабжения</v>
      </c>
      <c r="AO43" s="426"/>
      <c r="AP43" s="426"/>
    </row>
    <row r="44" spans="1:42" ht="23.25" customHeight="1">
      <c r="A44" s="1289" t="s">
        <v>233</v>
      </c>
      <c r="B44" s="1289" t="s">
        <v>234</v>
      </c>
      <c r="C44" s="1289" t="s">
        <v>235</v>
      </c>
      <c r="D44" s="1289" t="s">
        <v>2105</v>
      </c>
      <c r="E44" s="2043"/>
      <c r="F44" s="2043"/>
      <c r="G44" s="2043"/>
      <c r="H44" s="2043"/>
      <c r="I44" s="2044" t="str">
        <f>S43&amp;".1"</f>
        <v>...1</v>
      </c>
      <c r="J44" s="1289"/>
      <c r="K44" s="1289"/>
      <c r="L44" s="1290"/>
      <c r="P44" s="1961">
        <v>1</v>
      </c>
      <c r="Q44" s="1401"/>
      <c r="R44" s="277"/>
      <c r="S44" s="1413"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233</v>
      </c>
      <c r="B45" s="1289" t="s">
        <v>234</v>
      </c>
      <c r="C45" s="1289" t="s">
        <v>235</v>
      </c>
      <c r="D45" s="1289" t="s">
        <v>2105</v>
      </c>
      <c r="E45" s="2043"/>
      <c r="F45" s="2043"/>
      <c r="G45" s="2043"/>
      <c r="H45" s="2043"/>
      <c r="I45" s="2045"/>
      <c r="J45" s="2044" t="str">
        <f>I44&amp;".1"</f>
        <v>...1.1</v>
      </c>
      <c r="K45" s="1289"/>
      <c r="L45" s="1290" t="s">
        <v>481</v>
      </c>
      <c r="P45" s="1961"/>
      <c r="Q45" s="1961">
        <v>1</v>
      </c>
      <c r="R45" s="278"/>
      <c r="S45" s="1413"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233</v>
      </c>
      <c r="B46" s="1289" t="s">
        <v>234</v>
      </c>
      <c r="C46" s="1289" t="s">
        <v>235</v>
      </c>
      <c r="D46" s="1289" t="s">
        <v>2105</v>
      </c>
      <c r="E46" s="2043"/>
      <c r="F46" s="2043"/>
      <c r="G46" s="2043"/>
      <c r="H46" s="2043"/>
      <c r="I46" s="2045"/>
      <c r="J46" s="2045"/>
      <c r="K46" s="2044" t="str">
        <f>J45&amp;".1"</f>
        <v>...1.1.1</v>
      </c>
      <c r="L46" s="1290"/>
      <c r="P46" s="1961"/>
      <c r="Q46" s="1961"/>
      <c r="R46" s="278">
        <v>1</v>
      </c>
      <c r="S46" s="1413" t="str">
        <f>$K46</f>
        <v>...1.1.1</v>
      </c>
      <c r="T46" s="1362"/>
      <c r="U46" s="214"/>
      <c r="V46" s="1286"/>
      <c r="W46" s="1286"/>
      <c r="X46" s="1287"/>
      <c r="Y46" s="2040"/>
      <c r="Z46" s="2039" t="s">
        <v>58</v>
      </c>
      <c r="AA46" s="2040"/>
      <c r="AB46" s="2039" t="s">
        <v>58</v>
      </c>
      <c r="AC46" s="669"/>
      <c r="AD46" s="669"/>
      <c r="AE46" s="1186"/>
      <c r="AF46" s="2046"/>
      <c r="AG46" s="1850" t="s">
        <v>58</v>
      </c>
      <c r="AH46" s="2048"/>
      <c r="AI46" s="1850" t="s">
        <v>56</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233</v>
      </c>
      <c r="B47" s="1289" t="s">
        <v>234</v>
      </c>
      <c r="C47" s="1289" t="s">
        <v>235</v>
      </c>
      <c r="D47" s="1289" t="s">
        <v>2105</v>
      </c>
      <c r="E47" s="2043"/>
      <c r="F47" s="2043"/>
      <c r="G47" s="2043"/>
      <c r="H47" s="2043"/>
      <c r="I47" s="2045"/>
      <c r="J47" s="2045"/>
      <c r="K47" s="2044"/>
      <c r="L47" s="1290"/>
      <c r="P47" s="1961"/>
      <c r="Q47" s="1961"/>
      <c r="R47" s="278"/>
      <c r="S47" s="1410"/>
      <c r="T47" s="214"/>
      <c r="U47" s="214"/>
      <c r="V47" s="1286"/>
      <c r="W47" s="1286"/>
      <c r="X47" s="250" t="str">
        <f>Y46&amp;"-"&amp;AA46</f>
        <v>-</v>
      </c>
      <c r="Y47" s="2039"/>
      <c r="Z47" s="2039"/>
      <c r="AA47" s="2039"/>
      <c r="AB47" s="2039"/>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233</v>
      </c>
      <c r="B48" s="1289" t="s">
        <v>234</v>
      </c>
      <c r="C48" s="1289" t="s">
        <v>235</v>
      </c>
      <c r="D48" s="1289" t="s">
        <v>2105</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233</v>
      </c>
      <c r="B49" s="1289" t="s">
        <v>234</v>
      </c>
      <c r="C49" s="1289" t="s">
        <v>235</v>
      </c>
      <c r="D49" s="1289" t="s">
        <v>2105</v>
      </c>
      <c r="E49" s="2043"/>
      <c r="F49" s="2043"/>
      <c r="G49" s="2043"/>
      <c r="H49" s="2043"/>
      <c r="I49" s="2044"/>
      <c r="J49" s="1289"/>
      <c r="K49" s="1289"/>
      <c r="L49" s="1290"/>
      <c r="P49" s="1961"/>
      <c r="Q49" s="1401"/>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233</v>
      </c>
      <c r="B50" s="1289" t="s">
        <v>234</v>
      </c>
      <c r="C50" s="1289" t="s">
        <v>235</v>
      </c>
      <c r="D50" s="1289" t="s">
        <v>2105</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233</v>
      </c>
      <c r="B51" s="1270" t="s">
        <v>234</v>
      </c>
      <c r="C51" s="1242"/>
      <c r="D51" s="1242"/>
      <c r="E51" s="2043"/>
      <c r="F51" s="2042"/>
      <c r="G51" s="1242"/>
      <c r="H51" s="1242"/>
      <c r="I51" s="1242"/>
      <c r="J51" s="1242"/>
      <c r="K51" s="1242"/>
      <c r="L51" s="1414"/>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233</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414"/>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2106</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2107</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04" hidden="1" customWidth="1"/>
    <col min="17" max="17" width="3.69921875" style="1297" hidden="1" customWidth="1"/>
    <col min="18" max="18" width="3.69921875" style="265" customWidth="1"/>
    <col min="19" max="19" width="12.69921875" style="1795" customWidth="1"/>
    <col min="20" max="20" width="32"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2" width="3.69921875" style="1560" customWidth="1"/>
    <col min="33" max="33" width="24.69921875" style="1560" customWidth="1"/>
    <col min="34" max="36" width="3.69921875" style="1560" customWidth="1"/>
    <col min="37" max="37" width="24.69921875" style="1560" customWidth="1"/>
    <col min="38" max="40" width="3.69921875" style="1560" customWidth="1"/>
    <col min="41" max="41" width="18.796875" style="1560" customWidth="1"/>
    <col min="42" max="44" width="3.69921875" style="1560" customWidth="1"/>
    <col min="45" max="45" width="18.796875" style="1560" customWidth="1"/>
    <col min="46" max="49" width="21.69921875" style="1560" customWidth="1"/>
    <col min="50" max="50" width="11.69921875" style="1560" customWidth="1"/>
    <col min="51" max="51" width="3.69921875" style="1560" customWidth="1"/>
    <col min="52" max="52" width="11.69921875" style="1560" customWidth="1"/>
    <col min="53" max="53" width="8.59765625" style="1560" hidden="1" customWidth="1"/>
    <col min="54" max="54" width="4.69921875" style="1560" customWidth="1"/>
    <col min="55" max="55" width="115.69921875" style="1560" customWidth="1"/>
    <col min="56" max="57" width="10.59765625" style="1567"/>
    <col min="58" max="58" width="11.09765625" style="1567" customWidth="1"/>
    <col min="59" max="60" width="10.59765625" style="1567"/>
  </cols>
  <sheetData>
    <row r="1" spans="1:60" ht="14.25" hidden="1" customHeight="1">
      <c r="W1" s="249"/>
      <c r="Y1" s="249"/>
      <c r="Z1" s="249"/>
      <c r="AW1" s="249"/>
      <c r="AX1" s="249"/>
    </row>
    <row r="2" spans="1:60" ht="21" hidden="1" customHeight="1">
      <c r="A2" s="1289"/>
      <c r="B2" s="1289"/>
      <c r="C2" s="1289"/>
      <c r="D2" s="1289"/>
      <c r="E2" s="2042">
        <v>1</v>
      </c>
      <c r="F2" s="1289"/>
      <c r="G2" s="1289"/>
      <c r="H2" s="1289"/>
      <c r="I2" s="1289"/>
      <c r="J2" s="1289"/>
      <c r="K2" s="1289"/>
      <c r="L2" s="1290"/>
      <c r="M2" s="1291"/>
      <c r="N2" s="1291"/>
      <c r="O2" s="1291"/>
      <c r="P2" s="1335"/>
      <c r="Q2" s="790"/>
      <c r="R2" s="276"/>
      <c r="S2" s="1413" t="e">
        <f>INDEX(PT_DIFFERENTIATION_NUM_NTAR,MATCH(A2,PT_DIFFERENTIATION_NTAR_ID,0))</f>
        <v>#N/A</v>
      </c>
      <c r="T2" s="212" t="s">
        <v>119</v>
      </c>
      <c r="U2" s="214"/>
      <c r="V2" s="2037"/>
      <c r="W2" s="2037"/>
      <c r="X2" s="2037"/>
      <c r="Y2" s="2037"/>
      <c r="Z2" s="2037"/>
      <c r="AA2" s="2037"/>
      <c r="AB2" s="2037"/>
      <c r="AC2" s="2038"/>
      <c r="AD2" s="2036" t="e">
        <f>INDEX(PT_DIFFERENTIATION_NTAR,MATCH(A2,PT_DIFFERENTIATION_NTAR_ID,0))</f>
        <v>#N/A</v>
      </c>
      <c r="AE2" s="2037"/>
      <c r="AF2" s="2037"/>
      <c r="AG2" s="2037"/>
      <c r="AH2" s="2037"/>
      <c r="AI2" s="2037"/>
      <c r="AJ2" s="2037"/>
      <c r="AK2" s="2037"/>
      <c r="AL2" s="2037"/>
      <c r="AM2" s="2037"/>
      <c r="AN2" s="2037"/>
      <c r="AO2" s="2037"/>
      <c r="AP2" s="2037"/>
      <c r="AQ2" s="2037"/>
      <c r="AR2" s="2037"/>
      <c r="AS2" s="2037"/>
      <c r="AT2" s="2037"/>
      <c r="AU2" s="2037"/>
      <c r="AV2" s="2037"/>
      <c r="AW2" s="2037"/>
      <c r="AX2" s="2037"/>
      <c r="AY2" s="2037"/>
      <c r="AZ2" s="2037"/>
      <c r="BA2" s="2037"/>
      <c r="BB2" s="2038"/>
      <c r="BC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9"/>
      <c r="B3" s="1289"/>
      <c r="C3" s="1289"/>
      <c r="D3" s="1289"/>
      <c r="E3" s="2043"/>
      <c r="F3" s="2042">
        <v>1</v>
      </c>
      <c r="G3" s="1289"/>
      <c r="H3" s="1289"/>
      <c r="I3" s="1289"/>
      <c r="J3" s="1289"/>
      <c r="K3" s="1289"/>
      <c r="L3" s="1290"/>
      <c r="M3" s="1291"/>
      <c r="N3" s="1291"/>
      <c r="O3" s="1291"/>
      <c r="P3" s="1336"/>
      <c r="Q3" s="1337"/>
      <c r="R3" s="274"/>
      <c r="S3" s="1413" t="e">
        <f>INDEX(PT_DIFFERENTIATION_NUM_TER,MATCH(B3,PT_DIFFERENTIATION_TER_ID,0))</f>
        <v>#N/A</v>
      </c>
      <c r="T3" s="224" t="s">
        <v>472</v>
      </c>
      <c r="U3" s="214"/>
      <c r="V3" s="2037"/>
      <c r="W3" s="2037"/>
      <c r="X3" s="2037"/>
      <c r="Y3" s="2037"/>
      <c r="Z3" s="2037"/>
      <c r="AA3" s="2037"/>
      <c r="AB3" s="2037"/>
      <c r="AC3" s="2038"/>
      <c r="AD3" s="2036" t="e">
        <f>INDEX(PT_DIFFERENTIATION_TER,MATCH(B3,PT_DIFFERENTIATION_TER_ID,0))</f>
        <v>#N/A</v>
      </c>
      <c r="AE3" s="2037"/>
      <c r="AF3" s="2037"/>
      <c r="AG3" s="2037"/>
      <c r="AH3" s="2037"/>
      <c r="AI3" s="2037"/>
      <c r="AJ3" s="2037"/>
      <c r="AK3" s="2037"/>
      <c r="AL3" s="2037"/>
      <c r="AM3" s="2037"/>
      <c r="AN3" s="2037"/>
      <c r="AO3" s="2037"/>
      <c r="AP3" s="2037"/>
      <c r="AQ3" s="2037"/>
      <c r="AR3" s="2037"/>
      <c r="AS3" s="2037"/>
      <c r="AT3" s="2037"/>
      <c r="AU3" s="2037"/>
      <c r="AV3" s="2037"/>
      <c r="AW3" s="2037"/>
      <c r="AX3" s="2037"/>
      <c r="AY3" s="2037"/>
      <c r="AZ3" s="2037"/>
      <c r="BA3" s="2037"/>
      <c r="BB3" s="2038"/>
      <c r="BC3" s="1187" t="s">
        <v>473</v>
      </c>
      <c r="BE3" s="426"/>
      <c r="BF3" s="426" t="str">
        <f t="shared" si="0"/>
        <v>Территория действия тарифа</v>
      </c>
      <c r="BG3" s="426"/>
      <c r="BH3" s="426"/>
    </row>
    <row r="4" spans="1:60" ht="33.75" hidden="1" customHeight="1">
      <c r="A4" s="1289"/>
      <c r="B4" s="1289"/>
      <c r="C4" s="1289"/>
      <c r="D4" s="1289"/>
      <c r="E4" s="2043"/>
      <c r="F4" s="2043"/>
      <c r="G4" s="2042">
        <v>1</v>
      </c>
      <c r="H4" s="1289"/>
      <c r="I4" s="1289"/>
      <c r="J4" s="1289"/>
      <c r="K4" s="1289"/>
      <c r="L4" s="1290"/>
      <c r="M4" s="1291"/>
      <c r="N4" s="1291"/>
      <c r="O4" s="1291"/>
      <c r="P4" s="1338"/>
      <c r="Q4" s="1337"/>
      <c r="R4" s="274"/>
      <c r="S4" s="1413" t="e">
        <f>INDEX(PT_DIFFERENTIATION_NUM_CS,MATCH(C4,PT_DIFFERENTIATION_CS_ID,0))</f>
        <v>#N/A</v>
      </c>
      <c r="T4" s="225" t="s">
        <v>2098</v>
      </c>
      <c r="U4" s="214"/>
      <c r="V4" s="2037"/>
      <c r="W4" s="2037"/>
      <c r="X4" s="2037"/>
      <c r="Y4" s="2037"/>
      <c r="Z4" s="2037"/>
      <c r="AA4" s="2037"/>
      <c r="AB4" s="2037"/>
      <c r="AC4" s="2038"/>
      <c r="AD4" s="2036" t="e">
        <f>INDEX(PT_DIFFERENTIATION_CS,MATCH(C4,PT_DIFFERENTIATION_CS_ID,0))</f>
        <v>#N/A</v>
      </c>
      <c r="AE4" s="2037"/>
      <c r="AF4" s="2037"/>
      <c r="AG4" s="2037"/>
      <c r="AH4" s="2037"/>
      <c r="AI4" s="2037"/>
      <c r="AJ4" s="2037"/>
      <c r="AK4" s="2037"/>
      <c r="AL4" s="2037"/>
      <c r="AM4" s="2037"/>
      <c r="AN4" s="2037"/>
      <c r="AO4" s="2037"/>
      <c r="AP4" s="2037"/>
      <c r="AQ4" s="2037"/>
      <c r="AR4" s="2037"/>
      <c r="AS4" s="2037"/>
      <c r="AT4" s="2037"/>
      <c r="AU4" s="2037"/>
      <c r="AV4" s="2037"/>
      <c r="AW4" s="2037"/>
      <c r="AX4" s="2037"/>
      <c r="AY4" s="2037"/>
      <c r="AZ4" s="2037"/>
      <c r="BA4" s="2037"/>
      <c r="BB4" s="2038"/>
      <c r="BC4" s="1187" t="s">
        <v>2099</v>
      </c>
      <c r="BE4" s="426"/>
      <c r="BF4" s="426" t="str">
        <f t="shared" si="0"/>
        <v>Наименование централизованной системы горячего водоснабжения</v>
      </c>
      <c r="BG4" s="426"/>
      <c r="BH4" s="426"/>
    </row>
    <row r="5" spans="1:60" s="1567" customFormat="1" ht="14.25" hidden="1" customHeight="1">
      <c r="A5" s="1270"/>
      <c r="B5" s="1270"/>
      <c r="C5" s="1270"/>
      <c r="D5" s="1270"/>
      <c r="E5" s="2043"/>
      <c r="F5" s="2043"/>
      <c r="G5" s="2043"/>
      <c r="H5" s="2042">
        <v>1</v>
      </c>
      <c r="I5" s="1270"/>
      <c r="J5" s="1270"/>
      <c r="K5" s="1270"/>
      <c r="L5" s="1273"/>
      <c r="M5" s="1243"/>
      <c r="N5" s="1243"/>
      <c r="O5" s="1243"/>
      <c r="P5" s="1417"/>
      <c r="Q5" s="1418"/>
      <c r="R5" s="278"/>
      <c r="S5" s="958"/>
      <c r="T5" s="1419"/>
      <c r="U5" s="1310"/>
      <c r="V5" s="2072"/>
      <c r="W5" s="2072"/>
      <c r="X5" s="2072"/>
      <c r="Y5" s="2072"/>
      <c r="Z5" s="2072"/>
      <c r="AA5" s="2072"/>
      <c r="AB5" s="2072"/>
      <c r="AC5" s="2073"/>
      <c r="AD5" s="2071"/>
      <c r="AE5" s="2072"/>
      <c r="AF5" s="2072"/>
      <c r="AG5" s="2072"/>
      <c r="AH5" s="2072"/>
      <c r="AI5" s="2072"/>
      <c r="AJ5" s="2072"/>
      <c r="AK5" s="2072"/>
      <c r="AL5" s="2072"/>
      <c r="AM5" s="2072"/>
      <c r="AN5" s="2072"/>
      <c r="AO5" s="2072"/>
      <c r="AP5" s="2072"/>
      <c r="AQ5" s="2072"/>
      <c r="AR5" s="2072"/>
      <c r="AS5" s="2072"/>
      <c r="AT5" s="2072"/>
      <c r="AU5" s="2072"/>
      <c r="AV5" s="2072"/>
      <c r="AW5" s="2072"/>
      <c r="AX5" s="2072"/>
      <c r="AY5" s="2072"/>
      <c r="AZ5" s="2072"/>
      <c r="BA5" s="2072"/>
      <c r="BB5" s="2073"/>
      <c r="BC5" s="1311" t="s">
        <v>477</v>
      </c>
      <c r="BE5" s="426"/>
      <c r="BF5" s="426" t="str">
        <f t="shared" si="0"/>
        <v/>
      </c>
      <c r="BG5" s="426"/>
      <c r="BH5" s="426"/>
    </row>
    <row r="6" spans="1:60" s="1567" customFormat="1" ht="14.25" hidden="1" customHeight="1">
      <c r="A6" s="1270"/>
      <c r="B6" s="1270"/>
      <c r="C6" s="1270"/>
      <c r="D6" s="1270"/>
      <c r="E6" s="2043"/>
      <c r="F6" s="2043"/>
      <c r="G6" s="2043"/>
      <c r="H6" s="2043"/>
      <c r="I6" s="2044" t="str">
        <f>S5&amp;".1"</f>
        <v>.1</v>
      </c>
      <c r="J6" s="1270"/>
      <c r="K6" s="1270"/>
      <c r="L6" s="1273" t="s">
        <v>478</v>
      </c>
      <c r="M6" s="436"/>
      <c r="N6" s="436"/>
      <c r="O6" s="436"/>
      <c r="P6" s="1961">
        <v>1</v>
      </c>
      <c r="Q6" s="1401"/>
      <c r="R6" s="277"/>
      <c r="S6" s="958"/>
      <c r="T6" s="1309"/>
      <c r="U6" s="1310"/>
      <c r="V6" s="2072"/>
      <c r="W6" s="2072"/>
      <c r="X6" s="2072"/>
      <c r="Y6" s="2072"/>
      <c r="Z6" s="2072"/>
      <c r="AA6" s="2072"/>
      <c r="AB6" s="2072"/>
      <c r="AC6" s="2073"/>
      <c r="AD6" s="2071"/>
      <c r="AE6" s="2072"/>
      <c r="AF6" s="2072"/>
      <c r="AG6" s="2072"/>
      <c r="AH6" s="2072"/>
      <c r="AI6" s="2072"/>
      <c r="AJ6" s="2072"/>
      <c r="AK6" s="2072"/>
      <c r="AL6" s="2072"/>
      <c r="AM6" s="2072"/>
      <c r="AN6" s="2072"/>
      <c r="AO6" s="2072"/>
      <c r="AP6" s="2072"/>
      <c r="AQ6" s="2072"/>
      <c r="AR6" s="2072"/>
      <c r="AS6" s="2072"/>
      <c r="AT6" s="2072"/>
      <c r="AU6" s="2072"/>
      <c r="AV6" s="2072"/>
      <c r="AW6" s="2072"/>
      <c r="AX6" s="2072"/>
      <c r="AY6" s="2072"/>
      <c r="AZ6" s="2072"/>
      <c r="BA6" s="2072"/>
      <c r="BB6" s="2073"/>
      <c r="BC6" s="1311"/>
      <c r="BE6" s="426"/>
      <c r="BF6" s="426" t="str">
        <f t="shared" si="0"/>
        <v/>
      </c>
      <c r="BG6" s="426"/>
      <c r="BH6" s="426"/>
    </row>
    <row r="7" spans="1:60" s="1567" customFormat="1" ht="14.25" hidden="1" customHeight="1">
      <c r="A7" s="1270"/>
      <c r="B7" s="1270"/>
      <c r="C7" s="1270"/>
      <c r="D7" s="1270"/>
      <c r="E7" s="2043"/>
      <c r="F7" s="2043"/>
      <c r="G7" s="2043"/>
      <c r="H7" s="2043"/>
      <c r="I7" s="2045"/>
      <c r="J7" s="2044" t="str">
        <f>S5&amp;".1"</f>
        <v>.1</v>
      </c>
      <c r="K7" s="1270"/>
      <c r="L7" s="1273"/>
      <c r="M7" s="436"/>
      <c r="N7" s="436"/>
      <c r="O7" s="436"/>
      <c r="P7" s="1961"/>
      <c r="Q7" s="1961">
        <v>1</v>
      </c>
      <c r="R7" s="278"/>
      <c r="S7" s="958"/>
      <c r="T7" s="1325"/>
      <c r="U7" s="1310"/>
      <c r="V7" s="2072"/>
      <c r="W7" s="2072"/>
      <c r="X7" s="2072"/>
      <c r="Y7" s="2072"/>
      <c r="Z7" s="2072"/>
      <c r="AA7" s="2072"/>
      <c r="AB7" s="2072"/>
      <c r="AC7" s="2073"/>
      <c r="AD7" s="2071"/>
      <c r="AE7" s="2072"/>
      <c r="AF7" s="2072"/>
      <c r="AG7" s="2072"/>
      <c r="AH7" s="2072"/>
      <c r="AI7" s="2072"/>
      <c r="AJ7" s="2072"/>
      <c r="AK7" s="2072"/>
      <c r="AL7" s="2072"/>
      <c r="AM7" s="2072"/>
      <c r="AN7" s="2072"/>
      <c r="AO7" s="2072"/>
      <c r="AP7" s="2072"/>
      <c r="AQ7" s="2072"/>
      <c r="AR7" s="2072"/>
      <c r="AS7" s="2072"/>
      <c r="AT7" s="2072"/>
      <c r="AU7" s="2072"/>
      <c r="AV7" s="2072"/>
      <c r="AW7" s="2072"/>
      <c r="AX7" s="2072"/>
      <c r="AY7" s="2072"/>
      <c r="AZ7" s="2072"/>
      <c r="BA7" s="2072"/>
      <c r="BB7" s="2073"/>
      <c r="BC7" s="1311"/>
      <c r="BE7" s="426"/>
      <c r="BF7" s="426" t="str">
        <f t="shared" si="0"/>
        <v/>
      </c>
      <c r="BG7" s="426"/>
      <c r="BH7" s="426"/>
    </row>
    <row r="8" spans="1:60" ht="11.25" hidden="1" customHeight="1">
      <c r="A8" s="1289"/>
      <c r="B8" s="1289"/>
      <c r="C8" s="1289"/>
      <c r="D8" s="1289"/>
      <c r="E8" s="2043"/>
      <c r="F8" s="2043"/>
      <c r="G8" s="2043"/>
      <c r="H8" s="2043"/>
      <c r="I8" s="2045"/>
      <c r="J8" s="2045"/>
      <c r="K8" s="2044" t="e">
        <f>S4&amp;".1"</f>
        <v>#N/A</v>
      </c>
      <c r="L8" s="1290"/>
      <c r="P8" s="1961"/>
      <c r="Q8" s="1961"/>
      <c r="R8" s="2095">
        <v>1</v>
      </c>
      <c r="S8" s="2092" t="e">
        <f>$K8</f>
        <v>#N/A</v>
      </c>
      <c r="T8" s="2151"/>
      <c r="U8" s="214"/>
      <c r="V8" s="669"/>
      <c r="W8" s="1186"/>
      <c r="X8" s="669"/>
      <c r="Y8" s="1186"/>
      <c r="Z8" s="1658"/>
      <c r="AA8" s="1390" t="s">
        <v>58</v>
      </c>
      <c r="AB8" s="1658"/>
      <c r="AC8" s="1390" t="s">
        <v>58</v>
      </c>
      <c r="AD8" s="1907" t="s">
        <v>58</v>
      </c>
      <c r="AE8" s="2088"/>
      <c r="AF8" s="1920">
        <v>1</v>
      </c>
      <c r="AG8" s="2150"/>
      <c r="AH8" s="1850" t="s">
        <v>58</v>
      </c>
      <c r="AI8" s="2088"/>
      <c r="AJ8" s="1920">
        <v>1</v>
      </c>
      <c r="AK8" s="2149" t="s">
        <v>18</v>
      </c>
      <c r="AL8" s="1850" t="s">
        <v>58</v>
      </c>
      <c r="AM8" s="1895"/>
      <c r="AN8" s="1920">
        <v>1</v>
      </c>
      <c r="AO8" s="2154"/>
      <c r="AP8" s="2155" t="s">
        <v>58</v>
      </c>
      <c r="AQ8" s="227"/>
      <c r="AR8" s="1406">
        <v>1</v>
      </c>
      <c r="AS8" s="1412" t="s">
        <v>18</v>
      </c>
      <c r="AT8" s="669"/>
      <c r="AU8" s="1186"/>
      <c r="AV8" s="669"/>
      <c r="AW8" s="1186"/>
      <c r="AX8" s="1658"/>
      <c r="AY8" s="1390" t="s">
        <v>58</v>
      </c>
      <c r="AZ8" s="1658"/>
      <c r="BA8" s="1390" t="s">
        <v>58</v>
      </c>
      <c r="BB8" s="1275"/>
      <c r="BC8" s="2064" t="s">
        <v>1707</v>
      </c>
      <c r="BE8" s="426"/>
      <c r="BF8" s="426" t="str">
        <f t="shared" si="0"/>
        <v/>
      </c>
      <c r="BG8" s="426"/>
      <c r="BH8" s="426"/>
    </row>
    <row r="9" spans="1:60" ht="11.25" hidden="1" customHeight="1">
      <c r="A9" s="1289"/>
      <c r="B9" s="1289"/>
      <c r="C9" s="1289"/>
      <c r="D9" s="1289"/>
      <c r="E9" s="2043"/>
      <c r="F9" s="2043"/>
      <c r="G9" s="2043"/>
      <c r="H9" s="2043"/>
      <c r="I9" s="2045"/>
      <c r="J9" s="2045"/>
      <c r="K9" s="2044"/>
      <c r="L9" s="1290"/>
      <c r="P9" s="1961"/>
      <c r="Q9" s="1961"/>
      <c r="R9" s="2095"/>
      <c r="S9" s="2093"/>
      <c r="T9" s="2152"/>
      <c r="U9" s="214"/>
      <c r="V9" s="1319"/>
      <c r="W9" s="1416"/>
      <c r="X9" s="1319"/>
      <c r="Y9" s="1416"/>
      <c r="Z9" s="1319"/>
      <c r="AA9" s="1319"/>
      <c r="AB9" s="1319"/>
      <c r="AC9" s="1319"/>
      <c r="AD9" s="1908"/>
      <c r="AE9" s="2088"/>
      <c r="AF9" s="1920"/>
      <c r="AG9" s="2150"/>
      <c r="AH9" s="1850"/>
      <c r="AI9" s="2088"/>
      <c r="AJ9" s="1920"/>
      <c r="AK9" s="2149"/>
      <c r="AL9" s="1850"/>
      <c r="AM9" s="1900"/>
      <c r="AN9" s="1920"/>
      <c r="AO9" s="2154"/>
      <c r="AP9" s="2156"/>
      <c r="AQ9" s="234"/>
      <c r="AR9" s="346"/>
      <c r="AS9" s="346" t="s">
        <v>1708</v>
      </c>
      <c r="AT9" s="1319"/>
      <c r="AU9" s="1416"/>
      <c r="AV9" s="1319"/>
      <c r="AW9" s="1416"/>
      <c r="AX9" s="1319"/>
      <c r="AY9" s="1319"/>
      <c r="AZ9" s="1319"/>
      <c r="BA9" s="1319"/>
      <c r="BB9" s="1323"/>
      <c r="BC9" s="2065"/>
      <c r="BE9" s="426"/>
      <c r="BF9" s="426"/>
      <c r="BG9" s="426"/>
      <c r="BH9" s="426"/>
    </row>
    <row r="10" spans="1:60" ht="11.25" hidden="1" customHeight="1">
      <c r="A10" s="1289"/>
      <c r="B10" s="1289"/>
      <c r="C10" s="1289"/>
      <c r="D10" s="1289"/>
      <c r="E10" s="2043"/>
      <c r="F10" s="2043"/>
      <c r="G10" s="2043"/>
      <c r="H10" s="2043"/>
      <c r="I10" s="2045"/>
      <c r="J10" s="2045"/>
      <c r="K10" s="2044"/>
      <c r="L10" s="1290"/>
      <c r="P10" s="1961"/>
      <c r="Q10" s="1961"/>
      <c r="R10" s="2095"/>
      <c r="S10" s="2093"/>
      <c r="T10" s="2152"/>
      <c r="U10" s="214"/>
      <c r="V10" s="1319"/>
      <c r="W10" s="1416"/>
      <c r="X10" s="1319"/>
      <c r="Y10" s="1416"/>
      <c r="Z10" s="1319"/>
      <c r="AA10" s="1319"/>
      <c r="AB10" s="1319"/>
      <c r="AC10" s="1319"/>
      <c r="AD10" s="1908"/>
      <c r="AE10" s="2088"/>
      <c r="AF10" s="1920"/>
      <c r="AG10" s="2150"/>
      <c r="AH10" s="1850"/>
      <c r="AI10" s="2088"/>
      <c r="AJ10" s="1920"/>
      <c r="AK10" s="2149"/>
      <c r="AL10" s="1850"/>
      <c r="AM10" s="234"/>
      <c r="AN10" s="1420"/>
      <c r="AO10" s="1420" t="s">
        <v>1709</v>
      </c>
      <c r="AP10" s="346"/>
      <c r="AQ10" s="346"/>
      <c r="AR10" s="346"/>
      <c r="AS10" s="1319"/>
      <c r="AT10" s="1319"/>
      <c r="AU10" s="1416"/>
      <c r="AV10" s="1319"/>
      <c r="AW10" s="1416"/>
      <c r="AX10" s="1319"/>
      <c r="AY10" s="1319"/>
      <c r="AZ10" s="1319"/>
      <c r="BA10" s="1319"/>
      <c r="BB10" s="1323"/>
      <c r="BC10" s="2065"/>
      <c r="BE10" s="426"/>
      <c r="BF10" s="426"/>
      <c r="BG10" s="426"/>
      <c r="BH10" s="426"/>
    </row>
    <row r="11" spans="1:60" ht="11.25" hidden="1" customHeight="1">
      <c r="A11" s="1289"/>
      <c r="B11" s="1289"/>
      <c r="C11" s="1289"/>
      <c r="D11" s="1289"/>
      <c r="E11" s="2043"/>
      <c r="F11" s="2043"/>
      <c r="G11" s="2043"/>
      <c r="H11" s="2043"/>
      <c r="I11" s="2045"/>
      <c r="J11" s="2045"/>
      <c r="K11" s="2044"/>
      <c r="L11" s="1290"/>
      <c r="P11" s="1961"/>
      <c r="Q11" s="1961"/>
      <c r="R11" s="2095"/>
      <c r="S11" s="2093"/>
      <c r="T11" s="2152"/>
      <c r="U11" s="214"/>
      <c r="V11" s="1319"/>
      <c r="W11" s="1416"/>
      <c r="X11" s="1319"/>
      <c r="Y11" s="1416"/>
      <c r="Z11" s="1319"/>
      <c r="AA11" s="1319"/>
      <c r="AB11" s="1319"/>
      <c r="AC11" s="1319"/>
      <c r="AD11" s="1908"/>
      <c r="AE11" s="2088"/>
      <c r="AF11" s="1920"/>
      <c r="AG11" s="2150"/>
      <c r="AH11" s="1850"/>
      <c r="AI11" s="208"/>
      <c r="AJ11" s="345"/>
      <c r="AK11" s="229" t="s">
        <v>1710</v>
      </c>
      <c r="AL11" s="1319"/>
      <c r="AM11" s="1319"/>
      <c r="AN11" s="1319"/>
      <c r="AO11" s="1319"/>
      <c r="AP11" s="1319"/>
      <c r="AQ11" s="1319"/>
      <c r="AR11" s="1319"/>
      <c r="AS11" s="1319"/>
      <c r="AT11" s="1319"/>
      <c r="AU11" s="1416"/>
      <c r="AV11" s="1319"/>
      <c r="AW11" s="1416"/>
      <c r="AX11" s="1319"/>
      <c r="AY11" s="1319"/>
      <c r="AZ11" s="1319"/>
      <c r="BA11" s="1319"/>
      <c r="BB11" s="1323"/>
      <c r="BC11" s="2065"/>
      <c r="BE11" s="426"/>
      <c r="BF11" s="426"/>
      <c r="BG11" s="426"/>
      <c r="BH11" s="426"/>
    </row>
    <row r="12" spans="1:60" ht="11.25" hidden="1" customHeight="1">
      <c r="A12" s="1289"/>
      <c r="B12" s="1289"/>
      <c r="C12" s="1289"/>
      <c r="D12" s="1289"/>
      <c r="E12" s="2043"/>
      <c r="F12" s="2043"/>
      <c r="G12" s="2043"/>
      <c r="H12" s="2043"/>
      <c r="I12" s="2045"/>
      <c r="J12" s="2045"/>
      <c r="K12" s="2044"/>
      <c r="L12" s="1290"/>
      <c r="P12" s="1961"/>
      <c r="Q12" s="1961"/>
      <c r="R12" s="2095"/>
      <c r="S12" s="2094"/>
      <c r="T12" s="2153"/>
      <c r="U12" s="214"/>
      <c r="V12" s="1319"/>
      <c r="W12" s="1320" t="str">
        <f>Z8&amp;"-"&amp;AB8</f>
        <v>-</v>
      </c>
      <c r="X12" s="1319"/>
      <c r="Y12" s="1320" t="str">
        <f>AB8&amp;"-"&amp;AD8</f>
        <v>-да</v>
      </c>
      <c r="Z12" s="1319"/>
      <c r="AA12" s="1319"/>
      <c r="AB12" s="1319"/>
      <c r="AC12" s="1319"/>
      <c r="AD12" s="1855"/>
      <c r="AE12" s="228"/>
      <c r="AF12" s="230"/>
      <c r="AG12" s="346" t="s">
        <v>1711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065"/>
      <c r="BE12" s="426"/>
      <c r="BF12" s="426" t="str">
        <f t="shared" ref="BF12:BF18" si="1">IF(T12="","",T12)</f>
        <v/>
      </c>
      <c r="BG12" s="426"/>
      <c r="BH12" s="426"/>
    </row>
    <row r="13" spans="1:60" ht="11.25" hidden="1" customHeight="1">
      <c r="A13" s="1289"/>
      <c r="B13" s="1289"/>
      <c r="C13" s="1289"/>
      <c r="D13" s="1289"/>
      <c r="E13" s="2043"/>
      <c r="F13" s="2043"/>
      <c r="G13" s="2043"/>
      <c r="H13" s="2043"/>
      <c r="I13" s="2045"/>
      <c r="J13" s="2044"/>
      <c r="K13" s="1289"/>
      <c r="L13" s="1290"/>
      <c r="P13" s="1961"/>
      <c r="Q13" s="1961"/>
      <c r="R13" s="277"/>
      <c r="S13" s="1208"/>
      <c r="T13" s="202" t="s">
        <v>552</v>
      </c>
      <c r="U13" s="291"/>
      <c r="V13" s="291"/>
      <c r="W13" s="291"/>
      <c r="X13" s="291"/>
      <c r="Y13" s="291"/>
      <c r="Z13" s="291"/>
      <c r="AA13" s="291"/>
      <c r="AB13" s="291"/>
      <c r="AC13" s="291"/>
      <c r="AD13" s="1425"/>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2066"/>
      <c r="BE13" s="426"/>
      <c r="BF13" s="426" t="str">
        <f t="shared" si="1"/>
        <v>Добавить строку</v>
      </c>
      <c r="BG13" s="426"/>
      <c r="BH13" s="426"/>
    </row>
    <row r="14" spans="1:60" s="1567" customFormat="1" ht="14.25" hidden="1" customHeight="1">
      <c r="A14" s="1270"/>
      <c r="B14" s="1270"/>
      <c r="C14" s="1270"/>
      <c r="D14" s="1270"/>
      <c r="E14" s="2043"/>
      <c r="F14" s="2043"/>
      <c r="G14" s="2043"/>
      <c r="H14" s="2043"/>
      <c r="I14" s="2044"/>
      <c r="J14" s="1270"/>
      <c r="K14" s="1270"/>
      <c r="L14" s="1273"/>
      <c r="M14" s="436"/>
      <c r="N14" s="436"/>
      <c r="O14" s="436"/>
      <c r="P14" s="1961"/>
      <c r="Q14" s="1401"/>
      <c r="R14" s="27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26"/>
      <c r="BF14" s="426" t="str">
        <f t="shared" si="1"/>
        <v/>
      </c>
      <c r="BG14" s="426"/>
      <c r="BH14" s="426"/>
    </row>
    <row r="15" spans="1:60" s="1567" customFormat="1" ht="14.25" hidden="1" customHeight="1">
      <c r="A15" s="1270"/>
      <c r="B15" s="1270"/>
      <c r="C15" s="1270"/>
      <c r="D15" s="1270"/>
      <c r="E15" s="2043"/>
      <c r="F15" s="2043"/>
      <c r="G15" s="2043"/>
      <c r="H15" s="2042"/>
      <c r="I15" s="1270"/>
      <c r="J15" s="1270"/>
      <c r="K15" s="1270"/>
      <c r="L15" s="1273"/>
      <c r="M15" s="1243"/>
      <c r="N15" s="1243"/>
      <c r="O15" s="444"/>
      <c r="P15" s="308"/>
      <c r="Q15" s="1271"/>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26"/>
      <c r="BF15" s="426" t="str">
        <f t="shared" si="1"/>
        <v/>
      </c>
      <c r="BG15" s="426"/>
      <c r="BH15" s="426"/>
    </row>
    <row r="16" spans="1:60" s="1567" customFormat="1" ht="14.25" hidden="1" customHeight="1">
      <c r="A16" s="1270"/>
      <c r="B16" s="1270"/>
      <c r="C16" s="1270"/>
      <c r="D16" s="1242"/>
      <c r="E16" s="2043"/>
      <c r="F16" s="2043"/>
      <c r="G16" s="2042"/>
      <c r="H16" s="1242"/>
      <c r="I16" s="1242"/>
      <c r="J16" s="1242"/>
      <c r="K16" s="1242"/>
      <c r="L16" s="1414"/>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07"/>
      <c r="BF16" s="707" t="str">
        <f t="shared" si="1"/>
        <v/>
      </c>
      <c r="BG16" s="707"/>
      <c r="BH16" s="707"/>
    </row>
    <row r="17" spans="1:60" s="1567" customFormat="1" ht="14.25" hidden="1" customHeight="1">
      <c r="A17" s="1270"/>
      <c r="B17" s="1270"/>
      <c r="C17" s="1242"/>
      <c r="D17" s="1242"/>
      <c r="E17" s="2043"/>
      <c r="F17" s="2042"/>
      <c r="G17" s="1242"/>
      <c r="H17" s="1242"/>
      <c r="I17" s="1242"/>
      <c r="J17" s="1242"/>
      <c r="K17" s="1242"/>
      <c r="L17" s="1414"/>
      <c r="M17" s="1249"/>
      <c r="N17" s="1249"/>
      <c r="P17" s="1244"/>
      <c r="Q17" s="1245"/>
      <c r="R17" s="1244"/>
      <c r="S17" s="1250"/>
      <c r="T17" s="1253" t="s">
        <v>446</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07"/>
      <c r="BF17" s="707" t="str">
        <f t="shared" si="1"/>
        <v>Добавить централизованную систему для дифференциации</v>
      </c>
      <c r="BG17" s="707"/>
      <c r="BH17" s="707"/>
    </row>
    <row r="18" spans="1:60" s="1567" customFormat="1" ht="14.25" hidden="1" customHeight="1">
      <c r="A18" s="1270"/>
      <c r="B18" s="1270"/>
      <c r="C18" s="1270"/>
      <c r="D18" s="1270"/>
      <c r="E18" s="2042"/>
      <c r="F18" s="1270"/>
      <c r="G18" s="1270"/>
      <c r="H18" s="1270"/>
      <c r="I18" s="1270"/>
      <c r="J18" s="1270"/>
      <c r="K18" s="1270"/>
      <c r="L18" s="1273"/>
      <c r="M18" s="1249"/>
      <c r="N18" s="1249"/>
      <c r="O18" s="444"/>
      <c r="P18" s="308"/>
      <c r="Q18" s="1271"/>
      <c r="R18" s="308"/>
      <c r="S18" s="1250"/>
      <c r="T18" s="1253" t="s">
        <v>447</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26"/>
      <c r="BF18" s="426" t="str">
        <f t="shared" si="1"/>
        <v>Добавить территорию для дифференциации</v>
      </c>
      <c r="BG18" s="426"/>
      <c r="BH18" s="426"/>
    </row>
    <row r="19" spans="1:60" ht="14.25" hidden="1" customHeight="1">
      <c r="AC19" s="249"/>
      <c r="BA19" s="249"/>
    </row>
    <row r="20" spans="1:60" ht="14.25" hidden="1" customHeight="1">
      <c r="AD20" s="1252" t="s">
        <v>56</v>
      </c>
      <c r="AE20" s="1421"/>
      <c r="AF20" s="473">
        <v>1</v>
      </c>
      <c r="AG20" s="1422"/>
      <c r="AH20" s="1252" t="s">
        <v>56</v>
      </c>
      <c r="AI20" s="1421"/>
      <c r="AJ20" s="473">
        <v>1</v>
      </c>
      <c r="AK20" s="1422"/>
      <c r="AL20" s="1252" t="s">
        <v>56</v>
      </c>
      <c r="AM20" s="1423"/>
      <c r="AN20" s="473">
        <v>1</v>
      </c>
      <c r="AO20" s="1424"/>
      <c r="AP20" s="1252" t="s">
        <v>56</v>
      </c>
      <c r="AQ20" s="1423"/>
      <c r="AR20" s="473">
        <v>1</v>
      </c>
      <c r="AS20" s="1424"/>
      <c r="AT20" s="246"/>
      <c r="AU20" s="313"/>
      <c r="AV20" s="246"/>
      <c r="AW20" s="313"/>
      <c r="AX20" s="1660"/>
      <c r="AY20" s="1405" t="s">
        <v>58</v>
      </c>
      <c r="AZ20" s="1660"/>
      <c r="BA20" s="1405" t="s">
        <v>58</v>
      </c>
    </row>
    <row r="21" spans="1:60" ht="14.25" hidden="1" customHeight="1">
      <c r="BD21" s="422"/>
      <c r="BE21" s="422"/>
      <c r="BF21" s="422"/>
      <c r="BG21" s="422"/>
      <c r="BH21" s="422"/>
    </row>
    <row r="22" spans="1:60" ht="14.25" hidden="1" customHeight="1">
      <c r="O22" s="1293" t="s">
        <v>489</v>
      </c>
      <c r="Z22" s="1272"/>
      <c r="AB22" s="1272"/>
      <c r="AC22" s="249"/>
      <c r="AX22" s="1272"/>
      <c r="AZ22" s="1272"/>
      <c r="BA22" s="249"/>
      <c r="BD22" s="422"/>
      <c r="BE22" s="422"/>
      <c r="BF22" s="422"/>
      <c r="BG22" s="422"/>
      <c r="BH22" s="422"/>
    </row>
    <row r="23" spans="1:60" ht="14.25" hidden="1" customHeight="1">
      <c r="AC23" s="249"/>
      <c r="BA23" s="249"/>
      <c r="BD23" s="422"/>
      <c r="BE23" s="422"/>
      <c r="BF23" s="422"/>
      <c r="BG23" s="422"/>
      <c r="BH23" s="422"/>
    </row>
    <row r="24" spans="1:60" s="1429" customFormat="1" ht="14.25" hidden="1" customHeight="1">
      <c r="M24" s="1428"/>
      <c r="N24" s="1428"/>
      <c r="O24" s="1429" t="s">
        <v>490</v>
      </c>
      <c r="P24" s="1428"/>
      <c r="Q24" s="1430"/>
      <c r="R24" s="1430"/>
      <c r="AA24" s="1427" t="s">
        <v>492</v>
      </c>
      <c r="AC24" s="1427" t="s">
        <v>493</v>
      </c>
      <c r="AD24" s="1427" t="s">
        <v>553</v>
      </c>
      <c r="AH24" s="1427" t="s">
        <v>553</v>
      </c>
      <c r="AK24" s="1427" t="s">
        <v>1712</v>
      </c>
      <c r="AL24" s="1427" t="s">
        <v>553</v>
      </c>
      <c r="AP24" s="1427" t="s">
        <v>553</v>
      </c>
      <c r="AY24" s="1427" t="s">
        <v>492</v>
      </c>
      <c r="BA24" s="1427" t="s">
        <v>493</v>
      </c>
      <c r="BD24" s="1431"/>
      <c r="BE24" s="1431"/>
      <c r="BF24" s="1431"/>
      <c r="BG24" s="1431"/>
      <c r="BH24" s="1431"/>
    </row>
    <row r="25" spans="1:60" ht="14.25" hidden="1" customHeight="1">
      <c r="O25" s="1290"/>
      <c r="BD25" s="422"/>
      <c r="BE25" s="422"/>
      <c r="BF25" s="422"/>
      <c r="BG25" s="422"/>
      <c r="BH25" s="422"/>
    </row>
    <row r="26" spans="1:60" ht="14.25" hidden="1" customHeight="1">
      <c r="O26" s="1290"/>
      <c r="BD26" s="422"/>
      <c r="BE26" s="422"/>
      <c r="BF26" s="422"/>
      <c r="BG26" s="422"/>
      <c r="BH26" s="422"/>
    </row>
    <row r="27" spans="1:60" ht="14.25" customHeight="1">
      <c r="Q27" s="206"/>
      <c r="R27" s="300"/>
      <c r="S27" s="1205"/>
      <c r="T27" s="286"/>
      <c r="U27" s="286"/>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33.75" customHeight="1">
      <c r="Q28" s="206"/>
      <c r="R28" s="300"/>
      <c r="S28" s="2067" t="str">
        <f>IF(TEMPLATE_GROUP="P",PT_P_FORM_HOTVSNA_5_NAME_FORM,PT_R_FORM_HOTVSNA_17_NAME_FORM)</f>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
      <c r="T28" s="2067"/>
      <c r="U28" s="2067"/>
      <c r="V28" s="2067"/>
      <c r="W28" s="2067"/>
      <c r="X28" s="2067"/>
      <c r="Y28" s="2067"/>
      <c r="Z28" s="2067"/>
      <c r="AA28" s="2067"/>
      <c r="AB28" s="2067"/>
      <c r="AC28" s="2067"/>
      <c r="AD28" s="2067"/>
      <c r="AE28" s="2067"/>
      <c r="AF28" s="2067"/>
      <c r="AG28" s="2067"/>
      <c r="AH28" s="2067"/>
      <c r="AI28" s="2067"/>
      <c r="AJ28" s="2067"/>
      <c r="AK28" s="2067"/>
      <c r="AL28" s="2067"/>
      <c r="AM28" s="2067"/>
      <c r="AN28" s="2067"/>
      <c r="AO28" s="2067"/>
      <c r="AP28" s="2067"/>
      <c r="AQ28" s="2067"/>
      <c r="AR28" s="2067"/>
      <c r="AS28" s="2067"/>
      <c r="AT28" s="2067"/>
      <c r="AU28" s="2067"/>
      <c r="AV28" s="2067"/>
      <c r="AW28" s="2067"/>
      <c r="AX28" s="2067"/>
      <c r="AY28" s="2067"/>
      <c r="AZ28" s="2067"/>
      <c r="BA28" s="1162"/>
    </row>
    <row r="29" spans="1:60" ht="14.25" customHeight="1">
      <c r="Q29" s="206"/>
      <c r="R29" s="300"/>
      <c r="S29" s="1927" t="str">
        <f>IF(org=0,"Не определено",org)</f>
        <v>НАО "СВЕЗА Мантурово"</v>
      </c>
      <c r="T29" s="1927"/>
      <c r="U29" s="1927"/>
      <c r="V29" s="1927"/>
      <c r="W29" s="1927"/>
      <c r="X29" s="1927"/>
      <c r="Y29" s="1927"/>
      <c r="Z29" s="1927"/>
      <c r="AA29" s="1927"/>
      <c r="AB29" s="1927"/>
      <c r="AC29" s="1927"/>
      <c r="AD29" s="1927"/>
      <c r="AE29" s="1927"/>
      <c r="AF29" s="1927"/>
      <c r="AG29" s="1927"/>
      <c r="AH29" s="1927"/>
      <c r="AI29" s="1927"/>
      <c r="AJ29" s="1927"/>
      <c r="AK29" s="1927"/>
      <c r="AL29" s="1927"/>
      <c r="AM29" s="1927"/>
      <c r="AN29" s="1927"/>
      <c r="AO29" s="1927"/>
      <c r="AP29" s="1927"/>
      <c r="AQ29" s="1927"/>
      <c r="AR29" s="1927"/>
      <c r="AS29" s="1927"/>
      <c r="AT29" s="1927"/>
      <c r="AU29" s="1927"/>
      <c r="AV29" s="1927"/>
      <c r="AW29" s="1927"/>
      <c r="AX29" s="1927"/>
      <c r="AY29" s="1927"/>
      <c r="AZ29" s="1927"/>
      <c r="BA29" s="1162"/>
    </row>
    <row r="30" spans="1:60" ht="14.25" hidden="1" customHeight="1">
      <c r="Q30" s="206"/>
      <c r="R30" s="300"/>
      <c r="S30" s="1205"/>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5"/>
    </row>
    <row r="31" spans="1:60" s="1781" customFormat="1" ht="25.5" hidden="1" customHeight="1">
      <c r="A31" s="1294"/>
      <c r="B31" s="1294"/>
      <c r="C31" s="1294"/>
      <c r="D31" s="1294"/>
      <c r="E31" s="1294"/>
      <c r="F31" s="1294"/>
      <c r="G31" s="1294"/>
      <c r="H31" s="1294"/>
      <c r="I31" s="1294"/>
      <c r="J31" s="1294"/>
      <c r="K31" s="1294"/>
      <c r="L31" s="1295"/>
      <c r="M31" s="1294"/>
      <c r="N31" s="1294"/>
      <c r="O31" s="1294"/>
      <c r="P31" s="1294"/>
      <c r="Q31" s="1294"/>
      <c r="S31" s="2033" t="s">
        <v>39</v>
      </c>
      <c r="T31" s="2033"/>
      <c r="U31" s="1298"/>
      <c r="V31" s="2035"/>
      <c r="W31" s="2035"/>
      <c r="X31" s="2035"/>
      <c r="Y31" s="2035"/>
      <c r="Z31" s="2035"/>
      <c r="AA31" s="2035"/>
      <c r="AB31" s="2035"/>
      <c r="AC31" s="248"/>
      <c r="AD31" s="2035" t="str">
        <f>IF(TITLE_NAME_OR_PR_CHANGE="",IF(TITLE_NAME_OR_PR="","",TITLE_NAME_OR_PR),TITLE_NAME_OR_PR_CHANGE)</f>
        <v/>
      </c>
      <c r="AE31" s="2035"/>
      <c r="AF31" s="2035"/>
      <c r="AG31" s="2035"/>
      <c r="AH31" s="2035"/>
      <c r="AI31" s="2035"/>
      <c r="AJ31" s="2035"/>
      <c r="AK31" s="2035"/>
      <c r="AL31" s="2035"/>
      <c r="AM31" s="2035"/>
      <c r="AN31" s="2035"/>
      <c r="AO31" s="2035"/>
      <c r="AP31" s="2035"/>
      <c r="AQ31" s="2035"/>
      <c r="AR31" s="2035"/>
      <c r="AS31" s="2035"/>
      <c r="AT31" s="2035"/>
      <c r="AU31" s="2035"/>
      <c r="AV31" s="2035"/>
      <c r="AW31" s="2035"/>
      <c r="AX31" s="2035"/>
      <c r="AY31" s="2035"/>
      <c r="AZ31" s="2035"/>
      <c r="BA31" s="248"/>
      <c r="BB31" s="248"/>
      <c r="BC31" s="196"/>
      <c r="BD31" s="292"/>
      <c r="BE31" s="292"/>
      <c r="BF31" s="292"/>
      <c r="BG31" s="292"/>
      <c r="BH31" s="292"/>
    </row>
    <row r="32" spans="1:60" s="1781" customFormat="1" ht="18.75" hidden="1" customHeight="1">
      <c r="A32" s="1294"/>
      <c r="B32" s="1294"/>
      <c r="C32" s="1294"/>
      <c r="D32" s="1294"/>
      <c r="E32" s="1294"/>
      <c r="F32" s="1294"/>
      <c r="G32" s="1294"/>
      <c r="H32" s="1294"/>
      <c r="I32" s="1294"/>
      <c r="J32" s="1294"/>
      <c r="K32" s="1294"/>
      <c r="L32" s="1295"/>
      <c r="M32" s="1294"/>
      <c r="N32" s="1294"/>
      <c r="O32" s="1294"/>
      <c r="P32" s="1294"/>
      <c r="Q32" s="1294"/>
      <c r="S32" s="2033" t="s">
        <v>495</v>
      </c>
      <c r="T32" s="2033"/>
      <c r="U32" s="1298"/>
      <c r="V32" s="2034"/>
      <c r="W32" s="2034"/>
      <c r="X32" s="2034"/>
      <c r="Y32" s="2034"/>
      <c r="Z32" s="2034"/>
      <c r="AA32" s="2034"/>
      <c r="AB32" s="2034"/>
      <c r="AC32" s="248"/>
      <c r="AD32" s="2034" t="str">
        <f>IF(TITLE_DATE_CHANGE_PERIOD="",IF(TITLE_DATE_PR="","",TITLE_DATE_PR),TITLE_DATE_CHANGE_PERIOD)</f>
        <v/>
      </c>
      <c r="AE32" s="2034"/>
      <c r="AF32" s="2034"/>
      <c r="AG32" s="2034"/>
      <c r="AH32" s="2034"/>
      <c r="AI32" s="2034"/>
      <c r="AJ32" s="2034"/>
      <c r="AK32" s="2034"/>
      <c r="AL32" s="2034"/>
      <c r="AM32" s="2034"/>
      <c r="AN32" s="2034"/>
      <c r="AO32" s="2034"/>
      <c r="AP32" s="2034"/>
      <c r="AQ32" s="2034"/>
      <c r="AR32" s="2034"/>
      <c r="AS32" s="2034"/>
      <c r="AT32" s="2034"/>
      <c r="AU32" s="2034"/>
      <c r="AV32" s="2034"/>
      <c r="AW32" s="2034"/>
      <c r="AX32" s="2034"/>
      <c r="AY32" s="2034"/>
      <c r="AZ32" s="2034"/>
      <c r="BA32" s="248"/>
      <c r="BB32" s="248"/>
      <c r="BC32" s="196"/>
      <c r="BD32" s="292"/>
      <c r="BE32" s="292"/>
      <c r="BF32" s="292"/>
      <c r="BG32" s="292"/>
      <c r="BH32" s="292"/>
    </row>
    <row r="33" spans="1:60" s="1781" customFormat="1" ht="18.75" hidden="1" customHeight="1">
      <c r="A33" s="1294"/>
      <c r="B33" s="1294"/>
      <c r="C33" s="1294"/>
      <c r="D33" s="1294"/>
      <c r="E33" s="1294"/>
      <c r="F33" s="1294"/>
      <c r="G33" s="1294"/>
      <c r="H33" s="1294"/>
      <c r="I33" s="1294"/>
      <c r="J33" s="1294"/>
      <c r="K33" s="1294"/>
      <c r="L33" s="1295"/>
      <c r="M33" s="1294"/>
      <c r="N33" s="1294"/>
      <c r="O33" s="1294"/>
      <c r="P33" s="1294"/>
      <c r="Q33" s="1294"/>
      <c r="S33" s="2033" t="s">
        <v>496</v>
      </c>
      <c r="T33" s="2033"/>
      <c r="U33" s="1298"/>
      <c r="V33" s="2035"/>
      <c r="W33" s="2035"/>
      <c r="X33" s="2035"/>
      <c r="Y33" s="2035"/>
      <c r="Z33" s="2035"/>
      <c r="AA33" s="2035"/>
      <c r="AB33" s="2035"/>
      <c r="AC33" s="248"/>
      <c r="AD33" s="2035" t="str">
        <f>IF(TITLE_NUMBER_PR_CHANGE="",IF(TITLE_NUMBER_PR="","",TITLE_NUMBER_PR),TITLE_NUMBER_PR_CHANGE)</f>
        <v/>
      </c>
      <c r="AE33" s="2035"/>
      <c r="AF33" s="2035"/>
      <c r="AG33" s="2035"/>
      <c r="AH33" s="2035"/>
      <c r="AI33" s="2035"/>
      <c r="AJ33" s="2035"/>
      <c r="AK33" s="2035"/>
      <c r="AL33" s="2035"/>
      <c r="AM33" s="2035"/>
      <c r="AN33" s="2035"/>
      <c r="AO33" s="2035"/>
      <c r="AP33" s="2035"/>
      <c r="AQ33" s="2035"/>
      <c r="AR33" s="2035"/>
      <c r="AS33" s="2035"/>
      <c r="AT33" s="2035"/>
      <c r="AU33" s="2035"/>
      <c r="AV33" s="2035"/>
      <c r="AW33" s="2035"/>
      <c r="AX33" s="2035"/>
      <c r="AY33" s="2035"/>
      <c r="AZ33" s="2035"/>
      <c r="BA33" s="248"/>
      <c r="BB33" s="248"/>
      <c r="BC33" s="196"/>
      <c r="BD33" s="292"/>
      <c r="BE33" s="292"/>
      <c r="BF33" s="292"/>
      <c r="BG33" s="292"/>
      <c r="BH33" s="292"/>
    </row>
    <row r="34" spans="1:60" s="1781" customFormat="1" ht="18.75" hidden="1" customHeight="1">
      <c r="A34" s="1294"/>
      <c r="B34" s="1294"/>
      <c r="C34" s="1294"/>
      <c r="D34" s="1294"/>
      <c r="E34" s="1294"/>
      <c r="F34" s="1294"/>
      <c r="G34" s="1294"/>
      <c r="H34" s="1294"/>
      <c r="I34" s="1294"/>
      <c r="J34" s="1294"/>
      <c r="K34" s="1294"/>
      <c r="L34" s="1295"/>
      <c r="M34" s="1294"/>
      <c r="N34" s="1294"/>
      <c r="O34" s="1294"/>
      <c r="P34" s="1294"/>
      <c r="Q34" s="1294"/>
      <c r="S34" s="2033" t="s">
        <v>40</v>
      </c>
      <c r="T34" s="2033"/>
      <c r="U34" s="1298"/>
      <c r="V34" s="2035"/>
      <c r="W34" s="2035"/>
      <c r="X34" s="2035"/>
      <c r="Y34" s="2035"/>
      <c r="Z34" s="2035"/>
      <c r="AA34" s="2035"/>
      <c r="AB34" s="2035"/>
      <c r="AC34" s="248"/>
      <c r="AD34" s="2035" t="str">
        <f>IF(TITLE_IST_PUB_CHANGE="",IF(TITLE_IST_PUB="","",TITLE_IST_PUB),TITLE_IST_PUB_CHANGE)</f>
        <v/>
      </c>
      <c r="AE34" s="2035"/>
      <c r="AF34" s="2035"/>
      <c r="AG34" s="2035"/>
      <c r="AH34" s="2035"/>
      <c r="AI34" s="2035"/>
      <c r="AJ34" s="2035"/>
      <c r="AK34" s="2035"/>
      <c r="AL34" s="2035"/>
      <c r="AM34" s="2035"/>
      <c r="AN34" s="2035"/>
      <c r="AO34" s="2035"/>
      <c r="AP34" s="2035"/>
      <c r="AQ34" s="2035"/>
      <c r="AR34" s="2035"/>
      <c r="AS34" s="2035"/>
      <c r="AT34" s="2035"/>
      <c r="AU34" s="2035"/>
      <c r="AV34" s="2035"/>
      <c r="AW34" s="2035"/>
      <c r="AX34" s="2035"/>
      <c r="AY34" s="2035"/>
      <c r="AZ34" s="2035"/>
      <c r="BA34" s="248"/>
      <c r="BB34" s="248"/>
      <c r="BC34" s="196"/>
      <c r="BD34" s="292"/>
      <c r="BE34" s="292"/>
      <c r="BF34" s="292"/>
      <c r="BG34" s="292"/>
      <c r="BH34" s="292"/>
    </row>
    <row r="35" spans="1:60" ht="14.25" hidden="1" customHeight="1">
      <c r="Q35" s="206"/>
      <c r="R35" s="300"/>
      <c r="S35" s="1205"/>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5"/>
    </row>
    <row r="36" spans="1:60" s="1781" customFormat="1" ht="18.75" hidden="1" customHeight="1">
      <c r="A36" s="1294"/>
      <c r="B36" s="1294"/>
      <c r="C36" s="1294"/>
      <c r="D36" s="1294"/>
      <c r="E36" s="1294"/>
      <c r="F36" s="1294"/>
      <c r="G36" s="1294"/>
      <c r="H36" s="1294"/>
      <c r="I36" s="1294"/>
      <c r="J36" s="1294"/>
      <c r="K36" s="1294"/>
      <c r="L36" s="1295"/>
      <c r="M36" s="1294"/>
      <c r="N36" s="1294"/>
      <c r="O36" s="1294"/>
      <c r="P36" s="1294"/>
      <c r="Q36" s="1294"/>
      <c r="S36" s="2033" t="s">
        <v>495</v>
      </c>
      <c r="T36" s="2033"/>
      <c r="U36" s="1298"/>
      <c r="V36" s="2034"/>
      <c r="W36" s="2034"/>
      <c r="X36" s="2034"/>
      <c r="Y36" s="2034"/>
      <c r="Z36" s="2034"/>
      <c r="AA36" s="2034"/>
      <c r="AB36" s="2034"/>
      <c r="AC36" s="248"/>
      <c r="AD36" s="2034" t="str">
        <f>IF(TITLE_DATE_CHANGE_PERIOD="",IF(TITLE_DATE_PR="","",TITLE_DATE_PR),TITLE_DATE_CHANGE_PERIOD)</f>
        <v/>
      </c>
      <c r="AE36" s="2034"/>
      <c r="AF36" s="2034"/>
      <c r="AG36" s="2034"/>
      <c r="AH36" s="2034"/>
      <c r="AI36" s="2034"/>
      <c r="AJ36" s="2034"/>
      <c r="AK36" s="2034"/>
      <c r="AL36" s="2034"/>
      <c r="AM36" s="2034"/>
      <c r="AN36" s="2034"/>
      <c r="AO36" s="2034"/>
      <c r="AP36" s="2034"/>
      <c r="AQ36" s="2034"/>
      <c r="AR36" s="2034"/>
      <c r="AS36" s="2034"/>
      <c r="AT36" s="2034"/>
      <c r="AU36" s="2034"/>
      <c r="AV36" s="2034"/>
      <c r="AW36" s="2034"/>
      <c r="AX36" s="2034"/>
      <c r="AY36" s="2034"/>
      <c r="AZ36" s="2034"/>
      <c r="BA36" s="248"/>
      <c r="BB36" s="248"/>
      <c r="BC36" s="196"/>
      <c r="BD36" s="292"/>
      <c r="BE36" s="292"/>
      <c r="BF36" s="292"/>
      <c r="BG36" s="292"/>
      <c r="BH36" s="292"/>
    </row>
    <row r="37" spans="1:60" s="1781" customFormat="1" ht="18.75" hidden="1" customHeight="1">
      <c r="A37" s="1294"/>
      <c r="B37" s="1294"/>
      <c r="C37" s="1294"/>
      <c r="D37" s="1294"/>
      <c r="E37" s="1294"/>
      <c r="F37" s="1294"/>
      <c r="G37" s="1294"/>
      <c r="H37" s="1294"/>
      <c r="I37" s="1294"/>
      <c r="J37" s="1294"/>
      <c r="K37" s="1294"/>
      <c r="L37" s="1295"/>
      <c r="M37" s="1294"/>
      <c r="N37" s="1294"/>
      <c r="O37" s="1294"/>
      <c r="P37" s="1294"/>
      <c r="Q37" s="1294"/>
      <c r="S37" s="2033" t="s">
        <v>496</v>
      </c>
      <c r="T37" s="2033"/>
      <c r="U37" s="1298"/>
      <c r="V37" s="2035"/>
      <c r="W37" s="2035"/>
      <c r="X37" s="2035"/>
      <c r="Y37" s="2035"/>
      <c r="Z37" s="2035"/>
      <c r="AA37" s="2035"/>
      <c r="AB37" s="2035"/>
      <c r="AC37" s="248"/>
      <c r="AD37" s="2035" t="str">
        <f>IF(TITLE_NUMBER_PR_CHANGE="",IF(TITLE_NUMBER_PR="","",TITLE_NUMBER_PR),TITLE_NUMBER_PR_CHANGE)</f>
        <v/>
      </c>
      <c r="AE37" s="2035"/>
      <c r="AF37" s="2035"/>
      <c r="AG37" s="2035"/>
      <c r="AH37" s="2035"/>
      <c r="AI37" s="2035"/>
      <c r="AJ37" s="2035"/>
      <c r="AK37" s="2035"/>
      <c r="AL37" s="2035"/>
      <c r="AM37" s="2035"/>
      <c r="AN37" s="2035"/>
      <c r="AO37" s="2035"/>
      <c r="AP37" s="2035"/>
      <c r="AQ37" s="2035"/>
      <c r="AR37" s="2035"/>
      <c r="AS37" s="2035"/>
      <c r="AT37" s="2035"/>
      <c r="AU37" s="2035"/>
      <c r="AV37" s="2035"/>
      <c r="AW37" s="2035"/>
      <c r="AX37" s="2035"/>
      <c r="AY37" s="2035"/>
      <c r="AZ37" s="2035"/>
      <c r="BA37" s="248"/>
      <c r="BB37" s="248"/>
      <c r="BC37" s="196"/>
      <c r="BD37" s="292"/>
      <c r="BE37" s="292"/>
      <c r="BF37" s="292"/>
      <c r="BG37" s="292"/>
      <c r="BH37" s="292"/>
    </row>
    <row r="38" spans="1:60" s="1781" customFormat="1" ht="0" hidden="1" customHeight="1">
      <c r="A38" s="1294"/>
      <c r="B38" s="1294"/>
      <c r="C38" s="1294"/>
      <c r="D38" s="1294"/>
      <c r="E38" s="1294"/>
      <c r="F38" s="1294"/>
      <c r="G38" s="1294"/>
      <c r="H38" s="1294"/>
      <c r="I38" s="1294"/>
      <c r="J38" s="1294"/>
      <c r="K38" s="1294"/>
      <c r="L38" s="1295"/>
      <c r="M38" s="1294"/>
      <c r="N38" s="1294"/>
      <c r="O38" s="1294"/>
      <c r="P38" s="1294"/>
      <c r="Q38" s="1294"/>
      <c r="S38" s="244"/>
      <c r="T38" s="244"/>
      <c r="U38" s="1408"/>
      <c r="V38" s="248"/>
      <c r="W38" s="248"/>
      <c r="X38" s="248"/>
      <c r="Y38" s="248"/>
      <c r="Z38" s="248"/>
      <c r="AA38" s="248"/>
      <c r="AB38" s="248"/>
      <c r="AC38" s="194" t="s">
        <v>499</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499</v>
      </c>
      <c r="BD38" s="292"/>
      <c r="BE38" s="292"/>
      <c r="BF38" s="292"/>
      <c r="BG38" s="292"/>
      <c r="BH38" s="292"/>
    </row>
    <row r="39" spans="1:60" ht="14.25" customHeight="1">
      <c r="Q39" s="206"/>
      <c r="R39" s="300"/>
      <c r="S39" s="1205"/>
      <c r="T39" s="286"/>
      <c r="U39" s="1163"/>
      <c r="V39" s="2053"/>
      <c r="W39" s="2053"/>
      <c r="X39" s="2053"/>
      <c r="Y39" s="2053"/>
      <c r="Z39" s="2053"/>
      <c r="AA39" s="2053"/>
      <c r="AB39" s="2053"/>
      <c r="AC39" s="2053"/>
      <c r="AD39" s="2053"/>
      <c r="AE39" s="2053"/>
      <c r="AF39" s="2053"/>
      <c r="AG39" s="2053"/>
      <c r="AH39" s="2053"/>
      <c r="AI39" s="2053"/>
      <c r="AJ39" s="2053"/>
      <c r="AK39" s="2053"/>
      <c r="AL39" s="2053"/>
      <c r="AM39" s="2053"/>
      <c r="AN39" s="2053"/>
      <c r="AO39" s="2053"/>
      <c r="AP39" s="2053"/>
      <c r="AQ39" s="2053"/>
      <c r="AR39" s="2053"/>
      <c r="AS39" s="2053"/>
      <c r="AT39" s="2053"/>
      <c r="AU39" s="2053"/>
      <c r="AV39" s="2053"/>
      <c r="AW39" s="2053"/>
      <c r="AX39" s="2053"/>
      <c r="AY39" s="2053"/>
      <c r="AZ39" s="2053"/>
      <c r="BA39" s="2053"/>
    </row>
    <row r="40" spans="1:60" ht="14.25" customHeight="1">
      <c r="Q40" s="206"/>
      <c r="R40" s="300"/>
      <c r="S40" s="1840" t="s">
        <v>282</v>
      </c>
      <c r="T40" s="1840"/>
      <c r="U40" s="1840"/>
      <c r="V40" s="1840"/>
      <c r="W40" s="1840"/>
      <c r="X40" s="1840"/>
      <c r="Y40" s="1840"/>
      <c r="Z40" s="1840"/>
      <c r="AA40" s="1840"/>
      <c r="AB40" s="1840"/>
      <c r="AC40" s="1840"/>
      <c r="AD40" s="1840"/>
      <c r="AE40" s="1840"/>
      <c r="AF40" s="1840"/>
      <c r="AG40" s="1840"/>
      <c r="AH40" s="1840"/>
      <c r="AI40" s="1840"/>
      <c r="AJ40" s="1840"/>
      <c r="AK40" s="1840"/>
      <c r="AL40" s="1840"/>
      <c r="AM40" s="1840"/>
      <c r="AN40" s="1840"/>
      <c r="AO40" s="1840"/>
      <c r="AP40" s="1840"/>
      <c r="AQ40" s="1840"/>
      <c r="AR40" s="1840"/>
      <c r="AS40" s="1840"/>
      <c r="AT40" s="1840"/>
      <c r="AU40" s="1840"/>
      <c r="AV40" s="1840"/>
      <c r="AW40" s="1840"/>
      <c r="AX40" s="1840"/>
      <c r="AY40" s="1840"/>
      <c r="AZ40" s="1840"/>
      <c r="BA40" s="1840"/>
      <c r="BB40" s="1840"/>
      <c r="BC40" s="1840" t="s">
        <v>283</v>
      </c>
    </row>
    <row r="41" spans="1:60" ht="14.25" customHeight="1">
      <c r="Q41" s="206"/>
      <c r="R41" s="300"/>
      <c r="S41" s="2054" t="s">
        <v>87</v>
      </c>
      <c r="T41" s="1925" t="s">
        <v>1713</v>
      </c>
      <c r="U41" s="215"/>
      <c r="V41" s="2055" t="s">
        <v>501</v>
      </c>
      <c r="W41" s="2056"/>
      <c r="X41" s="2056"/>
      <c r="Y41" s="2056"/>
      <c r="Z41" s="2056"/>
      <c r="AA41" s="2056"/>
      <c r="AB41" s="2057"/>
      <c r="AC41" s="2058" t="s">
        <v>502</v>
      </c>
      <c r="AD41" s="2081" t="s">
        <v>1714</v>
      </c>
      <c r="AE41" s="2070"/>
      <c r="AF41" s="2070"/>
      <c r="AG41" s="2082"/>
      <c r="AH41" s="2081" t="s">
        <v>1715</v>
      </c>
      <c r="AI41" s="2070"/>
      <c r="AJ41" s="2070"/>
      <c r="AK41" s="2082"/>
      <c r="AL41" s="2081" t="s">
        <v>1716</v>
      </c>
      <c r="AM41" s="2070"/>
      <c r="AN41" s="2070"/>
      <c r="AO41" s="2082"/>
      <c r="AP41" s="2081" t="s">
        <v>1717</v>
      </c>
      <c r="AQ41" s="2070"/>
      <c r="AR41" s="2070"/>
      <c r="AS41" s="2082"/>
      <c r="AT41" s="2055" t="s">
        <v>501</v>
      </c>
      <c r="AU41" s="2056"/>
      <c r="AV41" s="2056"/>
      <c r="AW41" s="2056"/>
      <c r="AX41" s="2056"/>
      <c r="AY41" s="2056"/>
      <c r="AZ41" s="2057"/>
      <c r="BA41" s="2058" t="s">
        <v>502</v>
      </c>
      <c r="BB41" s="2061" t="s">
        <v>504</v>
      </c>
      <c r="BC41" s="1840"/>
    </row>
    <row r="42" spans="1:60" ht="33.75" customHeight="1">
      <c r="Q42" s="206"/>
      <c r="R42" s="300"/>
      <c r="S42" s="2054"/>
      <c r="T42" s="1925"/>
      <c r="U42" s="947"/>
      <c r="V42" s="1895" t="s">
        <v>1718</v>
      </c>
      <c r="W42" s="1896"/>
      <c r="X42" s="1895" t="s">
        <v>1719</v>
      </c>
      <c r="Y42" s="1896"/>
      <c r="Z42" s="1895" t="s">
        <v>1720</v>
      </c>
      <c r="AA42" s="2075"/>
      <c r="AB42" s="1896"/>
      <c r="AC42" s="2059"/>
      <c r="AD42" s="2083"/>
      <c r="AE42" s="2084"/>
      <c r="AF42" s="2084"/>
      <c r="AG42" s="2096"/>
      <c r="AH42" s="2083"/>
      <c r="AI42" s="2084"/>
      <c r="AJ42" s="2084"/>
      <c r="AK42" s="2096"/>
      <c r="AL42" s="2083"/>
      <c r="AM42" s="2084"/>
      <c r="AN42" s="2084"/>
      <c r="AO42" s="2096"/>
      <c r="AP42" s="2083"/>
      <c r="AQ42" s="2084"/>
      <c r="AR42" s="2084"/>
      <c r="AS42" s="2096"/>
      <c r="AT42" s="1895" t="s">
        <v>1718</v>
      </c>
      <c r="AU42" s="1896"/>
      <c r="AV42" s="1895" t="s">
        <v>1719</v>
      </c>
      <c r="AW42" s="1896"/>
      <c r="AX42" s="1895" t="s">
        <v>1720</v>
      </c>
      <c r="AY42" s="2075"/>
      <c r="AZ42" s="1896"/>
      <c r="BA42" s="2059"/>
      <c r="BB42" s="2062"/>
      <c r="BC42" s="1840"/>
    </row>
    <row r="43" spans="1:60" ht="14.25" customHeight="1">
      <c r="Q43" s="206"/>
      <c r="R43" s="300"/>
      <c r="S43" s="2054"/>
      <c r="T43" s="1925"/>
      <c r="U43" s="947"/>
      <c r="V43" s="1900"/>
      <c r="W43" s="1901"/>
      <c r="X43" s="1900"/>
      <c r="Y43" s="1901"/>
      <c r="Z43" s="1900"/>
      <c r="AA43" s="2076"/>
      <c r="AB43" s="1901"/>
      <c r="AC43" s="2059"/>
      <c r="AD43" s="2083"/>
      <c r="AE43" s="2084"/>
      <c r="AF43" s="2084"/>
      <c r="AG43" s="2096"/>
      <c r="AH43" s="2083"/>
      <c r="AI43" s="2084"/>
      <c r="AJ43" s="2084"/>
      <c r="AK43" s="2096"/>
      <c r="AL43" s="2083"/>
      <c r="AM43" s="2084"/>
      <c r="AN43" s="2084"/>
      <c r="AO43" s="2096"/>
      <c r="AP43" s="2083"/>
      <c r="AQ43" s="2084"/>
      <c r="AR43" s="2084"/>
      <c r="AS43" s="2096"/>
      <c r="AT43" s="1900"/>
      <c r="AU43" s="1901"/>
      <c r="AV43" s="1900"/>
      <c r="AW43" s="1901"/>
      <c r="AX43" s="1900"/>
      <c r="AY43" s="2076"/>
      <c r="AZ43" s="1901"/>
      <c r="BA43" s="2059"/>
      <c r="BB43" s="2062"/>
      <c r="BC43" s="1840"/>
    </row>
    <row r="44" spans="1:60" ht="14.25" customHeight="1">
      <c r="A44" s="1296"/>
      <c r="B44" s="1296" t="s">
        <v>131</v>
      </c>
      <c r="C44" s="1296" t="s">
        <v>132</v>
      </c>
      <c r="D44" s="1296" t="s">
        <v>133</v>
      </c>
      <c r="E44" s="1290" t="s">
        <v>509</v>
      </c>
      <c r="F44" s="1290" t="s">
        <v>510</v>
      </c>
      <c r="G44" s="1290" t="s">
        <v>511</v>
      </c>
      <c r="H44" s="1290" t="s">
        <v>512</v>
      </c>
      <c r="I44" s="1290" t="s">
        <v>513</v>
      </c>
      <c r="J44" s="1290" t="s">
        <v>514</v>
      </c>
      <c r="K44" s="1290" t="s">
        <v>515</v>
      </c>
      <c r="L44" s="1290" t="s">
        <v>490</v>
      </c>
      <c r="Q44" s="206"/>
      <c r="R44" s="300"/>
      <c r="S44" s="2054"/>
      <c r="T44" s="1925"/>
      <c r="U44" s="216"/>
      <c r="V44" s="1399" t="s">
        <v>563</v>
      </c>
      <c r="W44" s="1399" t="s">
        <v>564</v>
      </c>
      <c r="X44" s="1399" t="s">
        <v>563</v>
      </c>
      <c r="Y44" s="1399" t="s">
        <v>564</v>
      </c>
      <c r="Z44" s="1409" t="s">
        <v>518</v>
      </c>
      <c r="AA44" s="1931" t="s">
        <v>519</v>
      </c>
      <c r="AB44" s="1945"/>
      <c r="AC44" s="2060"/>
      <c r="AD44" s="2085"/>
      <c r="AE44" s="2086"/>
      <c r="AF44" s="2086"/>
      <c r="AG44" s="2087"/>
      <c r="AH44" s="2085"/>
      <c r="AI44" s="2086"/>
      <c r="AJ44" s="2086"/>
      <c r="AK44" s="2087"/>
      <c r="AL44" s="2085"/>
      <c r="AM44" s="2086"/>
      <c r="AN44" s="2086"/>
      <c r="AO44" s="2087"/>
      <c r="AP44" s="2085"/>
      <c r="AQ44" s="2086"/>
      <c r="AR44" s="2086"/>
      <c r="AS44" s="2087"/>
      <c r="AT44" s="1399" t="s">
        <v>563</v>
      </c>
      <c r="AU44" s="1399" t="s">
        <v>564</v>
      </c>
      <c r="AV44" s="1399" t="s">
        <v>563</v>
      </c>
      <c r="AW44" s="1399" t="s">
        <v>564</v>
      </c>
      <c r="AX44" s="1409" t="s">
        <v>518</v>
      </c>
      <c r="AY44" s="1931" t="s">
        <v>519</v>
      </c>
      <c r="AZ44" s="1945"/>
      <c r="BA44" s="2060"/>
      <c r="BB44" s="2063"/>
      <c r="BC44" s="1840"/>
    </row>
    <row r="45" spans="1:60" s="1566" customFormat="1" ht="0" hidden="1" customHeight="1">
      <c r="A45" s="1296"/>
      <c r="B45" s="1296"/>
      <c r="C45" s="1296"/>
      <c r="D45" s="1296"/>
      <c r="E45" s="1296"/>
      <c r="F45" s="1296"/>
      <c r="G45" s="1296"/>
      <c r="H45" s="1296"/>
      <c r="I45" s="1296"/>
      <c r="J45" s="1296"/>
      <c r="K45" s="1296"/>
      <c r="L45" s="1290"/>
      <c r="M45" s="1288"/>
      <c r="N45" s="1288"/>
      <c r="O45" s="1288"/>
      <c r="P45" s="436"/>
      <c r="Q45" s="1181"/>
      <c r="R45" s="1181">
        <v>1</v>
      </c>
      <c r="S45" s="1207" t="s">
        <v>105</v>
      </c>
      <c r="T45" s="1182" t="s">
        <v>106</v>
      </c>
      <c r="U45" s="1164" t="str">
        <f ca="1">OFFSET(U45,0,-1)</f>
        <v>2</v>
      </c>
      <c r="V45" s="1402">
        <f t="shared" ref="V45:AA45" ca="1" si="2">OFFSET(V45,0,-1)+1</f>
        <v>3</v>
      </c>
      <c r="W45" s="1402">
        <f t="shared" ca="1" si="2"/>
        <v>4</v>
      </c>
      <c r="X45" s="1402">
        <f t="shared" ca="1" si="2"/>
        <v>5</v>
      </c>
      <c r="Y45" s="1402">
        <f t="shared" ca="1" si="2"/>
        <v>6</v>
      </c>
      <c r="Z45" s="1402">
        <f t="shared" ca="1" si="2"/>
        <v>7</v>
      </c>
      <c r="AA45" s="2052">
        <f t="shared" ca="1" si="2"/>
        <v>8</v>
      </c>
      <c r="AB45" s="2052"/>
      <c r="AC45" s="1402">
        <f ca="1">OFFSET(AC45,0,-2)+1</f>
        <v>9</v>
      </c>
      <c r="AD45" s="1402">
        <f ca="1">OFFSET(AD45,0,-1)+1</f>
        <v>10</v>
      </c>
      <c r="AE45" s="1402"/>
      <c r="AF45" s="1402"/>
      <c r="AG45" s="1402"/>
      <c r="AH45" s="1402"/>
      <c r="AI45" s="1402"/>
      <c r="AJ45" s="1402"/>
      <c r="AK45" s="1402"/>
      <c r="AL45" s="1402"/>
      <c r="AM45" s="1402"/>
      <c r="AN45" s="1402"/>
      <c r="AO45" s="1402"/>
      <c r="AP45" s="1402"/>
      <c r="AQ45" s="1402"/>
      <c r="AR45" s="1402"/>
      <c r="AS45" s="1402"/>
      <c r="AT45" s="1402"/>
      <c r="AU45" s="1402"/>
      <c r="AV45" s="1402"/>
      <c r="AW45" s="1402">
        <f ca="1">OFFSET(AW45,0,-1)+1</f>
        <v>1</v>
      </c>
      <c r="AX45" s="1402">
        <f ca="1">OFFSET(AX45,0,-1)+1</f>
        <v>2</v>
      </c>
      <c r="AY45" s="2052">
        <f ca="1">OFFSET(AY45,0,-1)+1</f>
        <v>3</v>
      </c>
      <c r="AZ45" s="2052"/>
      <c r="BA45" s="1402">
        <f ca="1">OFFSET(BA45,0,-2)+1</f>
        <v>4</v>
      </c>
      <c r="BB45" s="1164">
        <f ca="1">OFFSET(BB45,0,-1)</f>
        <v>4</v>
      </c>
      <c r="BC45" s="1402">
        <f ca="1">OFFSET(BC45,0,-1)+1</f>
        <v>5</v>
      </c>
      <c r="BD45" s="437"/>
      <c r="BE45" s="437"/>
      <c r="BF45" s="437"/>
      <c r="BG45" s="437"/>
      <c r="BH45" s="437"/>
    </row>
    <row r="46" spans="1:60" ht="21" customHeight="1">
      <c r="A46" s="1289" t="s">
        <v>243</v>
      </c>
      <c r="B46" s="1289"/>
      <c r="C46" s="1289"/>
      <c r="D46" s="1289"/>
      <c r="E46" s="2042">
        <v>1</v>
      </c>
      <c r="F46" s="1289"/>
      <c r="G46" s="1289"/>
      <c r="H46" s="1289"/>
      <c r="I46" s="1289"/>
      <c r="J46" s="1289"/>
      <c r="K46" s="1289"/>
      <c r="L46" s="1290"/>
      <c r="M46" s="1291"/>
      <c r="N46" s="1291"/>
      <c r="O46" s="1291"/>
      <c r="P46" s="1335"/>
      <c r="Q46" s="790"/>
      <c r="R46" s="276"/>
      <c r="S46" s="1413">
        <f>INDEX(PT_DIFFERENTIATION_NUM_NTAR,MATCH(A46,PT_DIFFERENTIATION_NTAR_ID,0))</f>
        <v>0</v>
      </c>
      <c r="T46" s="212" t="s">
        <v>119</v>
      </c>
      <c r="U46" s="214"/>
      <c r="V46" s="2037"/>
      <c r="W46" s="2037"/>
      <c r="X46" s="2037"/>
      <c r="Y46" s="2037"/>
      <c r="Z46" s="2037"/>
      <c r="AA46" s="2037"/>
      <c r="AB46" s="2037"/>
      <c r="AC46" s="2038"/>
      <c r="AD46" s="2036" t="str">
        <f>INDEX(PT_DIFFERENTIATION_NTAR,MATCH(A46,PT_DIFFERENTIATION_NTAR_ID,0))</f>
        <v/>
      </c>
      <c r="AE46" s="2037"/>
      <c r="AF46" s="2037"/>
      <c r="AG46" s="2037"/>
      <c r="AH46" s="2037"/>
      <c r="AI46" s="2037"/>
      <c r="AJ46" s="2037"/>
      <c r="AK46" s="2037"/>
      <c r="AL46" s="2037"/>
      <c r="AM46" s="2037"/>
      <c r="AN46" s="2037"/>
      <c r="AO46" s="2037"/>
      <c r="AP46" s="2037"/>
      <c r="AQ46" s="2037"/>
      <c r="AR46" s="2037"/>
      <c r="AS46" s="2037"/>
      <c r="AT46" s="2037"/>
      <c r="AU46" s="2037"/>
      <c r="AV46" s="2037"/>
      <c r="AW46" s="2037"/>
      <c r="AX46" s="2037"/>
      <c r="AY46" s="2037"/>
      <c r="AZ46" s="2037"/>
      <c r="BA46" s="2037"/>
      <c r="BB46" s="2038"/>
      <c r="BC46"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9" t="s">
        <v>243</v>
      </c>
      <c r="B47" s="1289" t="s">
        <v>244</v>
      </c>
      <c r="C47" s="1289"/>
      <c r="D47" s="1289"/>
      <c r="E47" s="2043"/>
      <c r="F47" s="2042">
        <v>1</v>
      </c>
      <c r="G47" s="1289"/>
      <c r="H47" s="1289"/>
      <c r="I47" s="1289"/>
      <c r="J47" s="1289"/>
      <c r="K47" s="1289"/>
      <c r="L47" s="1290"/>
      <c r="M47" s="1291"/>
      <c r="N47" s="1291"/>
      <c r="O47" s="1291"/>
      <c r="P47" s="1336"/>
      <c r="Q47" s="1337"/>
      <c r="R47" s="274"/>
      <c r="S47" s="1413" t="str">
        <f>INDEX(PT_DIFFERENTIATION_NUM_TER,MATCH(B47,PT_DIFFERENTIATION_TER_ID,0))</f>
        <v>.</v>
      </c>
      <c r="T47" s="224" t="s">
        <v>472</v>
      </c>
      <c r="U47" s="214"/>
      <c r="V47" s="2037"/>
      <c r="W47" s="2037"/>
      <c r="X47" s="2037"/>
      <c r="Y47" s="2037"/>
      <c r="Z47" s="2037"/>
      <c r="AA47" s="2037"/>
      <c r="AB47" s="2037"/>
      <c r="AC47" s="2038"/>
      <c r="AD47" s="2036" t="str">
        <f>INDEX(PT_DIFFERENTIATION_TER,MATCH(B47,PT_DIFFERENTIATION_TER_ID,0))</f>
        <v/>
      </c>
      <c r="AE47" s="2037"/>
      <c r="AF47" s="2037"/>
      <c r="AG47" s="2037"/>
      <c r="AH47" s="2037"/>
      <c r="AI47" s="2037"/>
      <c r="AJ47" s="2037"/>
      <c r="AK47" s="2037"/>
      <c r="AL47" s="2037"/>
      <c r="AM47" s="2037"/>
      <c r="AN47" s="2037"/>
      <c r="AO47" s="2037"/>
      <c r="AP47" s="2037"/>
      <c r="AQ47" s="2037"/>
      <c r="AR47" s="2037"/>
      <c r="AS47" s="2037"/>
      <c r="AT47" s="2037"/>
      <c r="AU47" s="2037"/>
      <c r="AV47" s="2037"/>
      <c r="AW47" s="2037"/>
      <c r="AX47" s="2037"/>
      <c r="AY47" s="2037"/>
      <c r="AZ47" s="2037"/>
      <c r="BA47" s="2037"/>
      <c r="BB47" s="2038"/>
      <c r="BC47" s="1187" t="s">
        <v>473</v>
      </c>
      <c r="BE47" s="426"/>
      <c r="BF47" s="426" t="str">
        <f t="shared" si="3"/>
        <v>Территория действия тарифа</v>
      </c>
      <c r="BG47" s="426"/>
      <c r="BH47" s="426"/>
    </row>
    <row r="48" spans="1:60" ht="33.75" customHeight="1">
      <c r="A48" s="1289" t="s">
        <v>243</v>
      </c>
      <c r="B48" s="1289" t="s">
        <v>244</v>
      </c>
      <c r="C48" s="1289" t="s">
        <v>245</v>
      </c>
      <c r="D48" s="1289"/>
      <c r="E48" s="2043"/>
      <c r="F48" s="2043"/>
      <c r="G48" s="2042">
        <v>1</v>
      </c>
      <c r="H48" s="1289"/>
      <c r="I48" s="1289"/>
      <c r="J48" s="1289"/>
      <c r="K48" s="1289"/>
      <c r="L48" s="1290"/>
      <c r="M48" s="1291"/>
      <c r="N48" s="1291"/>
      <c r="O48" s="1291"/>
      <c r="P48" s="1338"/>
      <c r="Q48" s="1337"/>
      <c r="R48" s="274"/>
      <c r="S48" s="1413" t="str">
        <f>INDEX(PT_DIFFERENTIATION_NUM_CS,MATCH(C48,PT_DIFFERENTIATION_CS_ID,0))</f>
        <v>..</v>
      </c>
      <c r="T48" s="225" t="s">
        <v>2098</v>
      </c>
      <c r="U48" s="214"/>
      <c r="V48" s="2037"/>
      <c r="W48" s="2037"/>
      <c r="X48" s="2037"/>
      <c r="Y48" s="2037"/>
      <c r="Z48" s="2037"/>
      <c r="AA48" s="2037"/>
      <c r="AB48" s="2037"/>
      <c r="AC48" s="2038"/>
      <c r="AD48" s="2036" t="str">
        <f>INDEX(PT_DIFFERENTIATION_CS,MATCH(C48,PT_DIFFERENTIATION_CS_ID,0))</f>
        <v/>
      </c>
      <c r="AE48" s="2037"/>
      <c r="AF48" s="2037"/>
      <c r="AG48" s="2037"/>
      <c r="AH48" s="2037"/>
      <c r="AI48" s="2037"/>
      <c r="AJ48" s="2037"/>
      <c r="AK48" s="2037"/>
      <c r="AL48" s="2037"/>
      <c r="AM48" s="2037"/>
      <c r="AN48" s="2037"/>
      <c r="AO48" s="2037"/>
      <c r="AP48" s="2037"/>
      <c r="AQ48" s="2037"/>
      <c r="AR48" s="2037"/>
      <c r="AS48" s="2037"/>
      <c r="AT48" s="2037"/>
      <c r="AU48" s="2037"/>
      <c r="AV48" s="2037"/>
      <c r="AW48" s="2037"/>
      <c r="AX48" s="2037"/>
      <c r="AY48" s="2037"/>
      <c r="AZ48" s="2037"/>
      <c r="BA48" s="2037"/>
      <c r="BB48" s="2038"/>
      <c r="BC48" s="1187" t="s">
        <v>2099</v>
      </c>
      <c r="BE48" s="426"/>
      <c r="BF48" s="426" t="str">
        <f t="shared" si="3"/>
        <v>Наименование централизованной системы горячего водоснабжения</v>
      </c>
      <c r="BG48" s="426"/>
      <c r="BH48" s="426"/>
    </row>
    <row r="49" spans="1:60" s="1567" customFormat="1" ht="0" hidden="1" customHeight="1">
      <c r="A49" s="1270" t="s">
        <v>243</v>
      </c>
      <c r="B49" s="1270" t="s">
        <v>244</v>
      </c>
      <c r="C49" s="1270" t="s">
        <v>245</v>
      </c>
      <c r="D49" s="1270" t="s">
        <v>2108</v>
      </c>
      <c r="E49" s="2043"/>
      <c r="F49" s="2043"/>
      <c r="G49" s="2043"/>
      <c r="H49" s="2042">
        <v>1</v>
      </c>
      <c r="I49" s="1270"/>
      <c r="J49" s="1270"/>
      <c r="K49" s="1270"/>
      <c r="L49" s="1273"/>
      <c r="M49" s="1243"/>
      <c r="N49" s="1243"/>
      <c r="O49" s="1243"/>
      <c r="P49" s="1417"/>
      <c r="Q49" s="1418"/>
      <c r="R49" s="278"/>
      <c r="S49" s="958"/>
      <c r="T49" s="1419"/>
      <c r="U49" s="1310"/>
      <c r="V49" s="2072"/>
      <c r="W49" s="2072"/>
      <c r="X49" s="2072"/>
      <c r="Y49" s="2072"/>
      <c r="Z49" s="2072"/>
      <c r="AA49" s="2072"/>
      <c r="AB49" s="2072"/>
      <c r="AC49" s="2073"/>
      <c r="AD49" s="2071"/>
      <c r="AE49" s="2072"/>
      <c r="AF49" s="2072"/>
      <c r="AG49" s="2072"/>
      <c r="AH49" s="2072"/>
      <c r="AI49" s="2072"/>
      <c r="AJ49" s="2072"/>
      <c r="AK49" s="2072"/>
      <c r="AL49" s="2072"/>
      <c r="AM49" s="2072"/>
      <c r="AN49" s="2072"/>
      <c r="AO49" s="2072"/>
      <c r="AP49" s="2072"/>
      <c r="AQ49" s="2072"/>
      <c r="AR49" s="2072"/>
      <c r="AS49" s="2072"/>
      <c r="AT49" s="2072"/>
      <c r="AU49" s="2072"/>
      <c r="AV49" s="2072"/>
      <c r="AW49" s="2072"/>
      <c r="AX49" s="2072"/>
      <c r="AY49" s="2072"/>
      <c r="AZ49" s="2072"/>
      <c r="BA49" s="2072"/>
      <c r="BB49" s="2073"/>
      <c r="BC49" s="1311" t="s">
        <v>477</v>
      </c>
      <c r="BE49" s="426"/>
      <c r="BF49" s="426" t="str">
        <f t="shared" si="3"/>
        <v/>
      </c>
      <c r="BG49" s="426"/>
      <c r="BH49" s="426"/>
    </row>
    <row r="50" spans="1:60" s="1567" customFormat="1" ht="0" hidden="1" customHeight="1">
      <c r="A50" s="1270" t="s">
        <v>243</v>
      </c>
      <c r="B50" s="1270" t="s">
        <v>244</v>
      </c>
      <c r="C50" s="1270" t="s">
        <v>245</v>
      </c>
      <c r="D50" s="1270" t="s">
        <v>2108</v>
      </c>
      <c r="E50" s="2043"/>
      <c r="F50" s="2043"/>
      <c r="G50" s="2043"/>
      <c r="H50" s="2043"/>
      <c r="I50" s="2044" t="str">
        <f>S49&amp;".1"</f>
        <v>.1</v>
      </c>
      <c r="J50" s="1270"/>
      <c r="K50" s="1270"/>
      <c r="L50" s="1273" t="s">
        <v>478</v>
      </c>
      <c r="M50" s="436"/>
      <c r="N50" s="436"/>
      <c r="O50" s="436"/>
      <c r="P50" s="1961">
        <v>1</v>
      </c>
      <c r="Q50" s="1401"/>
      <c r="R50" s="277"/>
      <c r="S50" s="958"/>
      <c r="T50" s="1309"/>
      <c r="U50" s="1310"/>
      <c r="V50" s="2072"/>
      <c r="W50" s="2072"/>
      <c r="X50" s="2072"/>
      <c r="Y50" s="2072"/>
      <c r="Z50" s="2072"/>
      <c r="AA50" s="2072"/>
      <c r="AB50" s="2072"/>
      <c r="AC50" s="2073"/>
      <c r="AD50" s="2071"/>
      <c r="AE50" s="2072"/>
      <c r="AF50" s="2072"/>
      <c r="AG50" s="2072"/>
      <c r="AH50" s="2072"/>
      <c r="AI50" s="2072"/>
      <c r="AJ50" s="2072"/>
      <c r="AK50" s="2072"/>
      <c r="AL50" s="2072"/>
      <c r="AM50" s="2072"/>
      <c r="AN50" s="2072"/>
      <c r="AO50" s="2072"/>
      <c r="AP50" s="2072"/>
      <c r="AQ50" s="2072"/>
      <c r="AR50" s="2072"/>
      <c r="AS50" s="2072"/>
      <c r="AT50" s="2072"/>
      <c r="AU50" s="2072"/>
      <c r="AV50" s="2072"/>
      <c r="AW50" s="2072"/>
      <c r="AX50" s="2072"/>
      <c r="AY50" s="2072"/>
      <c r="AZ50" s="2072"/>
      <c r="BA50" s="2072"/>
      <c r="BB50" s="2073"/>
      <c r="BC50" s="1311"/>
      <c r="BE50" s="426"/>
      <c r="BF50" s="426" t="str">
        <f t="shared" si="3"/>
        <v/>
      </c>
      <c r="BG50" s="426"/>
      <c r="BH50" s="426"/>
    </row>
    <row r="51" spans="1:60" s="1567" customFormat="1" ht="0" hidden="1" customHeight="1">
      <c r="A51" s="1270" t="s">
        <v>243</v>
      </c>
      <c r="B51" s="1270" t="s">
        <v>244</v>
      </c>
      <c r="C51" s="1270" t="s">
        <v>245</v>
      </c>
      <c r="D51" s="1270" t="s">
        <v>2108</v>
      </c>
      <c r="E51" s="2043"/>
      <c r="F51" s="2043"/>
      <c r="G51" s="2043"/>
      <c r="H51" s="2043"/>
      <c r="I51" s="2045"/>
      <c r="J51" s="2044" t="str">
        <f>S49&amp;".1"</f>
        <v>.1</v>
      </c>
      <c r="K51" s="1270"/>
      <c r="L51" s="1273"/>
      <c r="M51" s="436"/>
      <c r="N51" s="436"/>
      <c r="O51" s="436"/>
      <c r="P51" s="1961"/>
      <c r="Q51" s="1961">
        <v>1</v>
      </c>
      <c r="R51" s="278"/>
      <c r="S51" s="958"/>
      <c r="T51" s="1325"/>
      <c r="U51" s="1310"/>
      <c r="V51" s="2072"/>
      <c r="W51" s="2072"/>
      <c r="X51" s="2072"/>
      <c r="Y51" s="2072"/>
      <c r="Z51" s="2072"/>
      <c r="AA51" s="2072"/>
      <c r="AB51" s="2072"/>
      <c r="AC51" s="2073"/>
      <c r="AD51" s="2071"/>
      <c r="AE51" s="2072"/>
      <c r="AF51" s="2072"/>
      <c r="AG51" s="2072"/>
      <c r="AH51" s="2072"/>
      <c r="AI51" s="2072"/>
      <c r="AJ51" s="2072"/>
      <c r="AK51" s="2072"/>
      <c r="AL51" s="2072"/>
      <c r="AM51" s="2072"/>
      <c r="AN51" s="2157"/>
      <c r="AO51" s="2157"/>
      <c r="AP51" s="2072"/>
      <c r="AQ51" s="2072"/>
      <c r="AR51" s="2072"/>
      <c r="AS51" s="2072"/>
      <c r="AT51" s="2072"/>
      <c r="AU51" s="2072"/>
      <c r="AV51" s="2072"/>
      <c r="AW51" s="2072"/>
      <c r="AX51" s="2072"/>
      <c r="AY51" s="2072"/>
      <c r="AZ51" s="2072"/>
      <c r="BA51" s="2072"/>
      <c r="BB51" s="2073"/>
      <c r="BC51" s="1311"/>
      <c r="BE51" s="426"/>
      <c r="BF51" s="426" t="str">
        <f t="shared" si="3"/>
        <v/>
      </c>
      <c r="BG51" s="426"/>
      <c r="BH51" s="426"/>
    </row>
    <row r="52" spans="1:60" ht="11.25" customHeight="1">
      <c r="A52" s="1289" t="s">
        <v>243</v>
      </c>
      <c r="B52" s="1289" t="s">
        <v>244</v>
      </c>
      <c r="C52" s="1289" t="s">
        <v>245</v>
      </c>
      <c r="D52" s="1289" t="s">
        <v>2108</v>
      </c>
      <c r="E52" s="2043"/>
      <c r="F52" s="2043"/>
      <c r="G52" s="2043"/>
      <c r="H52" s="2043"/>
      <c r="I52" s="2045"/>
      <c r="J52" s="2045"/>
      <c r="K52" s="2044" t="str">
        <f>S48&amp;".1"</f>
        <v>...1</v>
      </c>
      <c r="L52" s="1290"/>
      <c r="P52" s="1961"/>
      <c r="Q52" s="1961"/>
      <c r="R52" s="278">
        <v>1</v>
      </c>
      <c r="S52" s="2092" t="str">
        <f>$K52</f>
        <v>...1</v>
      </c>
      <c r="T52" s="2151"/>
      <c r="U52" s="214"/>
      <c r="V52" s="669"/>
      <c r="W52" s="1186"/>
      <c r="X52" s="669"/>
      <c r="Y52" s="1186"/>
      <c r="Z52" s="1658"/>
      <c r="AA52" s="1390" t="s">
        <v>58</v>
      </c>
      <c r="AB52" s="1658"/>
      <c r="AC52" s="1390" t="s">
        <v>58</v>
      </c>
      <c r="AD52" s="1907" t="s">
        <v>58</v>
      </c>
      <c r="AE52" s="2088"/>
      <c r="AF52" s="1920">
        <v>1</v>
      </c>
      <c r="AG52" s="2150"/>
      <c r="AH52" s="1850" t="s">
        <v>58</v>
      </c>
      <c r="AI52" s="2088"/>
      <c r="AJ52" s="1920">
        <v>1</v>
      </c>
      <c r="AK52" s="2149" t="s">
        <v>18</v>
      </c>
      <c r="AL52" s="1850" t="s">
        <v>58</v>
      </c>
      <c r="AM52" s="1895"/>
      <c r="AN52" s="1920">
        <v>1</v>
      </c>
      <c r="AO52" s="2154"/>
      <c r="AP52" s="2155" t="s">
        <v>58</v>
      </c>
      <c r="AQ52" s="227"/>
      <c r="AR52" s="1406">
        <v>1</v>
      </c>
      <c r="AS52" s="1412" t="s">
        <v>18</v>
      </c>
      <c r="AT52" s="669"/>
      <c r="AU52" s="1186"/>
      <c r="AV52" s="669"/>
      <c r="AW52" s="1186"/>
      <c r="AX52" s="1658"/>
      <c r="AY52" s="1390" t="s">
        <v>58</v>
      </c>
      <c r="AZ52" s="1658"/>
      <c r="BA52" s="1390" t="s">
        <v>58</v>
      </c>
      <c r="BB52" s="1275"/>
      <c r="BC52" s="2064" t="s">
        <v>1707</v>
      </c>
      <c r="BE52" s="426"/>
      <c r="BF52" s="426" t="str">
        <f t="shared" si="3"/>
        <v/>
      </c>
      <c r="BG52" s="426"/>
      <c r="BH52" s="426"/>
    </row>
    <row r="53" spans="1:60" ht="11.25" customHeight="1">
      <c r="A53" s="1289"/>
      <c r="B53" s="1289"/>
      <c r="C53" s="1289"/>
      <c r="D53" s="1289"/>
      <c r="E53" s="2043"/>
      <c r="F53" s="2043"/>
      <c r="G53" s="2043"/>
      <c r="H53" s="2043"/>
      <c r="I53" s="2045"/>
      <c r="J53" s="2045"/>
      <c r="K53" s="2044"/>
      <c r="L53" s="1290"/>
      <c r="P53" s="1961"/>
      <c r="Q53" s="1961"/>
      <c r="R53" s="278"/>
      <c r="S53" s="2093"/>
      <c r="T53" s="2152"/>
      <c r="U53" s="214"/>
      <c r="V53" s="1319"/>
      <c r="W53" s="1416"/>
      <c r="X53" s="1319"/>
      <c r="Y53" s="1416"/>
      <c r="Z53" s="1319"/>
      <c r="AA53" s="1319"/>
      <c r="AB53" s="1319"/>
      <c r="AC53" s="1319"/>
      <c r="AD53" s="1908"/>
      <c r="AE53" s="2088"/>
      <c r="AF53" s="1920"/>
      <c r="AG53" s="2150"/>
      <c r="AH53" s="1850"/>
      <c r="AI53" s="2088"/>
      <c r="AJ53" s="1920"/>
      <c r="AK53" s="2149"/>
      <c r="AL53" s="1850"/>
      <c r="AM53" s="1900"/>
      <c r="AN53" s="1920"/>
      <c r="AO53" s="2154"/>
      <c r="AP53" s="2156"/>
      <c r="AQ53" s="234"/>
      <c r="AR53" s="346"/>
      <c r="AS53" s="346" t="s">
        <v>1708</v>
      </c>
      <c r="AT53" s="1319"/>
      <c r="AU53" s="1416"/>
      <c r="AV53" s="1319"/>
      <c r="AW53" s="1416"/>
      <c r="AX53" s="1319"/>
      <c r="AY53" s="1319"/>
      <c r="AZ53" s="1319"/>
      <c r="BA53" s="1319"/>
      <c r="BB53" s="1323"/>
      <c r="BC53" s="2065"/>
      <c r="BE53" s="426"/>
      <c r="BF53" s="426"/>
      <c r="BG53" s="426"/>
      <c r="BH53" s="426"/>
    </row>
    <row r="54" spans="1:60" ht="11.25" customHeight="1">
      <c r="A54" s="1289" t="s">
        <v>243</v>
      </c>
      <c r="B54" s="1289"/>
      <c r="C54" s="1289"/>
      <c r="D54" s="1289"/>
      <c r="E54" s="2043"/>
      <c r="F54" s="2043"/>
      <c r="G54" s="2043"/>
      <c r="H54" s="2043"/>
      <c r="I54" s="2045"/>
      <c r="J54" s="2045"/>
      <c r="K54" s="2044"/>
      <c r="L54" s="1290"/>
      <c r="P54" s="1961"/>
      <c r="Q54" s="1961"/>
      <c r="R54" s="278"/>
      <c r="S54" s="2093"/>
      <c r="T54" s="2152"/>
      <c r="U54" s="214"/>
      <c r="V54" s="1319"/>
      <c r="W54" s="1416"/>
      <c r="X54" s="1319"/>
      <c r="Y54" s="1416"/>
      <c r="Z54" s="1319"/>
      <c r="AA54" s="1319"/>
      <c r="AB54" s="1319"/>
      <c r="AC54" s="1319"/>
      <c r="AD54" s="1908"/>
      <c r="AE54" s="2088"/>
      <c r="AF54" s="1920"/>
      <c r="AG54" s="2150"/>
      <c r="AH54" s="1850"/>
      <c r="AI54" s="2088"/>
      <c r="AJ54" s="1920"/>
      <c r="AK54" s="2149"/>
      <c r="AL54" s="1850"/>
      <c r="AM54" s="234"/>
      <c r="AN54" s="1420"/>
      <c r="AO54" s="1420" t="s">
        <v>1709</v>
      </c>
      <c r="AP54" s="346"/>
      <c r="AQ54" s="346"/>
      <c r="AR54" s="346"/>
      <c r="AS54" s="1319"/>
      <c r="AT54" s="1319"/>
      <c r="AU54" s="1416"/>
      <c r="AV54" s="1319"/>
      <c r="AW54" s="1416"/>
      <c r="AX54" s="1319"/>
      <c r="AY54" s="1319"/>
      <c r="AZ54" s="1319"/>
      <c r="BA54" s="1319"/>
      <c r="BB54" s="1323"/>
      <c r="BC54" s="2065"/>
      <c r="BE54" s="426"/>
      <c r="BF54" s="426"/>
      <c r="BG54" s="426"/>
      <c r="BH54" s="426"/>
    </row>
    <row r="55" spans="1:60" ht="11.25" customHeight="1">
      <c r="A55" s="1289" t="s">
        <v>243</v>
      </c>
      <c r="B55" s="1289"/>
      <c r="C55" s="1289"/>
      <c r="D55" s="1289"/>
      <c r="E55" s="2043"/>
      <c r="F55" s="2043"/>
      <c r="G55" s="2043"/>
      <c r="H55" s="2043"/>
      <c r="I55" s="2045"/>
      <c r="J55" s="2045"/>
      <c r="K55" s="2044"/>
      <c r="L55" s="1290"/>
      <c r="P55" s="1961"/>
      <c r="Q55" s="1961"/>
      <c r="R55" s="278"/>
      <c r="S55" s="2093"/>
      <c r="T55" s="2152"/>
      <c r="U55" s="214"/>
      <c r="V55" s="1319"/>
      <c r="W55" s="1416"/>
      <c r="X55" s="1319"/>
      <c r="Y55" s="1416"/>
      <c r="Z55" s="1319"/>
      <c r="AA55" s="1319"/>
      <c r="AB55" s="1319"/>
      <c r="AC55" s="1319"/>
      <c r="AD55" s="1908"/>
      <c r="AE55" s="2088"/>
      <c r="AF55" s="1920"/>
      <c r="AG55" s="2150"/>
      <c r="AH55" s="1850"/>
      <c r="AI55" s="208"/>
      <c r="AJ55" s="345"/>
      <c r="AK55" s="229" t="s">
        <v>1710</v>
      </c>
      <c r="AL55" s="1319"/>
      <c r="AM55" s="1319"/>
      <c r="AN55" s="1319"/>
      <c r="AO55" s="1319"/>
      <c r="AP55" s="1319"/>
      <c r="AQ55" s="1319"/>
      <c r="AR55" s="1319"/>
      <c r="AS55" s="1319"/>
      <c r="AT55" s="1319"/>
      <c r="AU55" s="1416"/>
      <c r="AV55" s="1319"/>
      <c r="AW55" s="1416"/>
      <c r="AX55" s="1319"/>
      <c r="AY55" s="1319"/>
      <c r="AZ55" s="1319"/>
      <c r="BA55" s="1319"/>
      <c r="BB55" s="1323"/>
      <c r="BC55" s="2065"/>
      <c r="BE55" s="426"/>
      <c r="BF55" s="426"/>
      <c r="BG55" s="426"/>
      <c r="BH55" s="426"/>
    </row>
    <row r="56" spans="1:60" ht="11.25" customHeight="1">
      <c r="A56" s="1289" t="s">
        <v>243</v>
      </c>
      <c r="B56" s="1289" t="s">
        <v>244</v>
      </c>
      <c r="C56" s="1289" t="s">
        <v>245</v>
      </c>
      <c r="D56" s="1289" t="s">
        <v>2108</v>
      </c>
      <c r="E56" s="2043"/>
      <c r="F56" s="2043"/>
      <c r="G56" s="2043"/>
      <c r="H56" s="2043"/>
      <c r="I56" s="2045"/>
      <c r="J56" s="2045"/>
      <c r="K56" s="2044"/>
      <c r="L56" s="1290"/>
      <c r="P56" s="1961"/>
      <c r="Q56" s="1961"/>
      <c r="R56" s="278"/>
      <c r="S56" s="2094"/>
      <c r="T56" s="2153"/>
      <c r="U56" s="214"/>
      <c r="V56" s="1319"/>
      <c r="W56" s="1320" t="str">
        <f>Z52&amp;"-"&amp;AB52</f>
        <v>-</v>
      </c>
      <c r="X56" s="1319"/>
      <c r="Y56" s="1320" t="str">
        <f>AB52&amp;"-"&amp;AD52</f>
        <v>-да</v>
      </c>
      <c r="Z56" s="1319"/>
      <c r="AA56" s="1319"/>
      <c r="AB56" s="1319"/>
      <c r="AC56" s="1319"/>
      <c r="AD56" s="1855"/>
      <c r="AE56" s="228"/>
      <c r="AF56" s="230"/>
      <c r="AG56" s="346" t="s">
        <v>1711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065"/>
      <c r="BE56" s="426"/>
      <c r="BF56" s="426" t="str">
        <f t="shared" ref="BF56:BF63" si="4">IF(T56="","",T56)</f>
        <v/>
      </c>
      <c r="BG56" s="426"/>
      <c r="BH56" s="426"/>
    </row>
    <row r="57" spans="1:60" ht="11.25" customHeight="1">
      <c r="A57" s="1289" t="s">
        <v>243</v>
      </c>
      <c r="B57" s="1289" t="s">
        <v>244</v>
      </c>
      <c r="C57" s="1289" t="s">
        <v>245</v>
      </c>
      <c r="D57" s="1289" t="s">
        <v>2108</v>
      </c>
      <c r="E57" s="2043"/>
      <c r="F57" s="2043"/>
      <c r="G57" s="2043"/>
      <c r="H57" s="2043"/>
      <c r="I57" s="2045"/>
      <c r="J57" s="2044"/>
      <c r="K57" s="1289"/>
      <c r="L57" s="1290"/>
      <c r="P57" s="1961"/>
      <c r="Q57" s="1961"/>
      <c r="R57" s="277"/>
      <c r="S57" s="1208"/>
      <c r="T57" s="202" t="s">
        <v>552</v>
      </c>
      <c r="U57" s="291"/>
      <c r="V57" s="291"/>
      <c r="W57" s="291"/>
      <c r="X57" s="291"/>
      <c r="Y57" s="291"/>
      <c r="Z57" s="291"/>
      <c r="AA57" s="291"/>
      <c r="AB57" s="291"/>
      <c r="AC57" s="245"/>
      <c r="AD57" s="1425"/>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2066"/>
      <c r="BE57" s="426"/>
      <c r="BF57" s="426" t="str">
        <f t="shared" si="4"/>
        <v>Добавить строку</v>
      </c>
      <c r="BG57" s="426"/>
      <c r="BH57" s="426"/>
    </row>
    <row r="58" spans="1:60" s="1567" customFormat="1" ht="0" hidden="1" customHeight="1">
      <c r="A58" s="1270" t="s">
        <v>243</v>
      </c>
      <c r="B58" s="1270" t="s">
        <v>244</v>
      </c>
      <c r="C58" s="1270" t="s">
        <v>245</v>
      </c>
      <c r="D58" s="1270" t="s">
        <v>2108</v>
      </c>
      <c r="E58" s="2043"/>
      <c r="F58" s="2043"/>
      <c r="G58" s="2043"/>
      <c r="H58" s="2043"/>
      <c r="I58" s="2044"/>
      <c r="J58" s="1270"/>
      <c r="K58" s="1270"/>
      <c r="L58" s="1273"/>
      <c r="M58" s="436"/>
      <c r="N58" s="436"/>
      <c r="O58" s="436"/>
      <c r="P58" s="1961"/>
      <c r="Q58" s="1401"/>
      <c r="R58" s="277"/>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26"/>
      <c r="BF58" s="426" t="str">
        <f t="shared" si="4"/>
        <v/>
      </c>
      <c r="BG58" s="426"/>
      <c r="BH58" s="426"/>
    </row>
    <row r="59" spans="1:60" s="1567" customFormat="1" ht="0" hidden="1" customHeight="1">
      <c r="A59" s="1270" t="s">
        <v>243</v>
      </c>
      <c r="B59" s="1270" t="s">
        <v>244</v>
      </c>
      <c r="C59" s="1270" t="s">
        <v>245</v>
      </c>
      <c r="D59" s="1270" t="s">
        <v>2108</v>
      </c>
      <c r="E59" s="2043"/>
      <c r="F59" s="2043"/>
      <c r="G59" s="2043"/>
      <c r="H59" s="2042"/>
      <c r="I59" s="1270"/>
      <c r="J59" s="1270"/>
      <c r="K59" s="1270"/>
      <c r="L59" s="1273"/>
      <c r="M59" s="1243"/>
      <c r="N59" s="1243"/>
      <c r="O59" s="444"/>
      <c r="P59" s="308"/>
      <c r="Q59" s="1271"/>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26"/>
      <c r="BF59" s="426" t="str">
        <f t="shared" si="4"/>
        <v/>
      </c>
      <c r="BG59" s="426"/>
      <c r="BH59" s="426"/>
    </row>
    <row r="60" spans="1:60" s="1567" customFormat="1" ht="0" hidden="1" customHeight="1">
      <c r="A60" s="1270" t="s">
        <v>243</v>
      </c>
      <c r="B60" s="1270" t="s">
        <v>244</v>
      </c>
      <c r="C60" s="1270" t="s">
        <v>245</v>
      </c>
      <c r="D60" s="1242"/>
      <c r="E60" s="2043"/>
      <c r="F60" s="2043"/>
      <c r="G60" s="2042"/>
      <c r="H60" s="1242"/>
      <c r="I60" s="1242"/>
      <c r="J60" s="1242"/>
      <c r="K60" s="1242"/>
      <c r="L60" s="1414"/>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07"/>
      <c r="BF60" s="707" t="str">
        <f t="shared" si="4"/>
        <v/>
      </c>
      <c r="BG60" s="707"/>
      <c r="BH60" s="707"/>
    </row>
    <row r="61" spans="1:60" s="1567" customFormat="1" ht="0" hidden="1" customHeight="1">
      <c r="A61" s="1270" t="s">
        <v>243</v>
      </c>
      <c r="B61" s="1270" t="s">
        <v>244</v>
      </c>
      <c r="C61" s="1242"/>
      <c r="D61" s="1242"/>
      <c r="E61" s="2043"/>
      <c r="F61" s="2042"/>
      <c r="G61" s="1242"/>
      <c r="H61" s="1242"/>
      <c r="I61" s="1242"/>
      <c r="J61" s="1242"/>
      <c r="K61" s="1242"/>
      <c r="L61" s="1414"/>
      <c r="M61" s="1249"/>
      <c r="N61" s="1249"/>
      <c r="P61" s="1244"/>
      <c r="Q61" s="1245"/>
      <c r="R61" s="1244"/>
      <c r="S61" s="1250"/>
      <c r="T61" s="1253" t="s">
        <v>446</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07"/>
      <c r="BF61" s="707" t="str">
        <f t="shared" si="4"/>
        <v>Добавить централизованную систему для дифференциации</v>
      </c>
      <c r="BG61" s="707"/>
      <c r="BH61" s="707"/>
    </row>
    <row r="62" spans="1:60" s="1567" customFormat="1" ht="0" hidden="1" customHeight="1">
      <c r="A62" s="1270" t="s">
        <v>243</v>
      </c>
      <c r="B62" s="1270"/>
      <c r="C62" s="1270"/>
      <c r="D62" s="1270"/>
      <c r="E62" s="2042"/>
      <c r="F62" s="1270"/>
      <c r="G62" s="1270"/>
      <c r="H62" s="1270"/>
      <c r="I62" s="1270"/>
      <c r="J62" s="1270"/>
      <c r="K62" s="1270"/>
      <c r="L62" s="1273"/>
      <c r="M62" s="1249"/>
      <c r="N62" s="1249"/>
      <c r="O62" s="444"/>
      <c r="P62" s="308"/>
      <c r="Q62" s="1271"/>
      <c r="R62" s="308"/>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26"/>
      <c r="BF62" s="426" t="str">
        <f t="shared" si="4"/>
        <v>Добавить территорию для дифференциации</v>
      </c>
      <c r="BG62" s="426"/>
      <c r="BH62" s="426"/>
    </row>
    <row r="63" spans="1:60" s="1567" customFormat="1" ht="0" hidden="1" customHeight="1">
      <c r="A63" s="1242"/>
      <c r="B63" s="1242"/>
      <c r="C63" s="1242"/>
      <c r="D63" s="1242"/>
      <c r="E63" s="1270"/>
      <c r="F63" s="1242"/>
      <c r="G63" s="1242"/>
      <c r="H63" s="1242"/>
      <c r="I63" s="1242"/>
      <c r="J63" s="1242"/>
      <c r="K63" s="1242"/>
      <c r="L63" s="1414"/>
      <c r="M63" s="1249"/>
      <c r="N63" s="1249"/>
      <c r="P63" s="1244"/>
      <c r="Q63" s="1245"/>
      <c r="R63" s="1244"/>
      <c r="S63" s="1250"/>
      <c r="T63" s="1253" t="s">
        <v>448</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07"/>
      <c r="BF63" s="707" t="str">
        <f t="shared" si="4"/>
        <v>Добавить наименование тарифа</v>
      </c>
      <c r="BG63" s="707"/>
      <c r="BH63" s="707"/>
    </row>
    <row r="64" spans="1:60" ht="11.25" hidden="1" customHeight="1">
      <c r="M64" s="1070"/>
      <c r="N64" s="1070"/>
      <c r="O64" s="462"/>
      <c r="P64" s="1070"/>
      <c r="Q64" s="1070"/>
      <c r="R64" s="1065"/>
      <c r="S64" s="1065"/>
      <c r="BD64" s="1065"/>
      <c r="BE64" s="1065"/>
      <c r="BF64" s="1065"/>
      <c r="BG64" s="1065"/>
      <c r="BH64" s="1065"/>
    </row>
    <row r="65" spans="15:55" ht="18.75" hidden="1" customHeight="1">
      <c r="O65" s="462"/>
      <c r="S65" s="1174" t="s">
        <v>520</v>
      </c>
      <c r="T65" s="2041" t="s">
        <v>1722</v>
      </c>
      <c r="U65" s="2041"/>
      <c r="V65" s="2041"/>
      <c r="W65" s="2041"/>
      <c r="X65" s="2041"/>
      <c r="Y65" s="2041"/>
      <c r="Z65" s="2041"/>
      <c r="AA65" s="2041"/>
      <c r="AB65" s="2041"/>
      <c r="AC65" s="2041"/>
      <c r="AD65" s="2041"/>
      <c r="AE65" s="2041"/>
      <c r="AF65" s="2041"/>
      <c r="AG65" s="2041"/>
      <c r="AH65" s="2041"/>
      <c r="AI65" s="2041"/>
      <c r="AJ65" s="2041"/>
      <c r="AK65" s="2041"/>
      <c r="AL65" s="2041"/>
      <c r="AM65" s="2041"/>
      <c r="AN65" s="2041"/>
      <c r="AO65" s="2041"/>
      <c r="AP65" s="2041"/>
      <c r="AQ65" s="2041"/>
      <c r="AR65" s="2041"/>
      <c r="AS65" s="2041"/>
      <c r="AT65" s="2041"/>
      <c r="AU65" s="2041"/>
      <c r="AV65" s="2041"/>
      <c r="AW65" s="2041"/>
      <c r="AX65" s="2041"/>
      <c r="AY65" s="2041"/>
      <c r="AZ65" s="2041"/>
      <c r="BA65" s="2041"/>
      <c r="BB65" s="2041"/>
      <c r="BC65" s="2041"/>
    </row>
    <row r="66" spans="15:55" ht="14.25" hidden="1" customHeight="1">
      <c r="O66" s="462"/>
      <c r="T66" s="1400"/>
      <c r="U66" s="1400"/>
      <c r="V66" s="1400"/>
      <c r="W66" s="1400"/>
      <c r="X66" s="1400"/>
      <c r="Y66" s="1400"/>
      <c r="Z66" s="1400"/>
      <c r="AA66" s="1400"/>
      <c r="AB66" s="1400"/>
      <c r="AC66" s="1400"/>
      <c r="AD66" s="1400"/>
      <c r="AE66" s="1400"/>
      <c r="AF66" s="1400"/>
      <c r="AG66" s="1400"/>
      <c r="AH66" s="1400"/>
      <c r="AI66" s="1400"/>
      <c r="AJ66" s="1400"/>
      <c r="AK66" s="1400"/>
      <c r="AL66" s="1400"/>
      <c r="AM66" s="1400"/>
      <c r="AN66" s="1400"/>
      <c r="AO66" s="1400"/>
      <c r="AP66" s="1400"/>
      <c r="AQ66" s="1400"/>
      <c r="AR66" s="1400"/>
      <c r="AS66" s="1400"/>
      <c r="AT66" s="1400"/>
      <c r="AU66" s="1400"/>
      <c r="AV66" s="1400"/>
      <c r="AW66" s="1400"/>
      <c r="AX66" s="1400"/>
      <c r="AY66" s="1400"/>
      <c r="AZ66" s="1400"/>
      <c r="BA66" s="1400"/>
      <c r="BB66" s="1400"/>
      <c r="BC66" s="1400"/>
    </row>
    <row r="67" spans="15:55" ht="18.75" hidden="1" customHeight="1">
      <c r="O67" s="462"/>
      <c r="S67" s="1174" t="s">
        <v>520</v>
      </c>
      <c r="T67" s="2041" t="s">
        <v>1723</v>
      </c>
      <c r="U67" s="2041"/>
      <c r="V67" s="2041"/>
      <c r="W67" s="2041"/>
      <c r="X67" s="2041"/>
      <c r="Y67" s="2041"/>
      <c r="Z67" s="2041"/>
      <c r="AA67" s="2041"/>
      <c r="AB67" s="2041"/>
      <c r="AC67" s="2041"/>
      <c r="AD67" s="2041"/>
      <c r="AE67" s="2041"/>
      <c r="AF67" s="2041"/>
      <c r="AG67" s="2041"/>
      <c r="AH67" s="2041"/>
      <c r="AI67" s="2041"/>
      <c r="AJ67" s="2041"/>
      <c r="AK67" s="2041"/>
      <c r="AL67" s="2041"/>
      <c r="AM67" s="2041"/>
      <c r="AN67" s="2041"/>
      <c r="AO67" s="2041"/>
      <c r="AP67" s="2041"/>
      <c r="AQ67" s="2041"/>
      <c r="AR67" s="2041"/>
      <c r="AS67" s="2041"/>
      <c r="AT67" s="2041"/>
      <c r="AU67" s="2041"/>
      <c r="AV67" s="2041"/>
      <c r="AW67" s="2041"/>
      <c r="AX67" s="2041"/>
      <c r="AY67" s="2041"/>
      <c r="AZ67" s="2041"/>
      <c r="BA67" s="2041"/>
      <c r="BB67" s="2041"/>
      <c r="BC67" s="2041"/>
    </row>
    <row r="68" spans="15:55" ht="14.25" customHeight="1">
      <c r="O68" s="462"/>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413"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407"/>
      <c r="Q3" s="273"/>
      <c r="R3" s="274"/>
      <c r="S3" s="1413"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413" t="e">
        <f>INDEX(PT_DIFFERENTIATION_NUM_CS,MATCH(C4,PT_DIFFERENTIATION_CS_ID,0))</f>
        <v>#N/A</v>
      </c>
      <c r="T4" s="225" t="s">
        <v>2109</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2110</v>
      </c>
      <c r="AM4" s="426"/>
      <c r="AN4" s="426" t="str">
        <f t="shared" si="0"/>
        <v>Наименование централизованной системы водоотведения</v>
      </c>
      <c r="AO4" s="426"/>
      <c r="AP4" s="426"/>
    </row>
    <row r="5" spans="1:42" ht="23.25" hidden="1" customHeight="1">
      <c r="A5" s="1289"/>
      <c r="B5" s="1289"/>
      <c r="C5" s="1289"/>
      <c r="D5" s="1289"/>
      <c r="E5" s="2043"/>
      <c r="F5" s="2043"/>
      <c r="G5" s="2043"/>
      <c r="H5" s="2043"/>
      <c r="I5" s="2044" t="e">
        <f>S4&amp;".1"</f>
        <v>#N/A</v>
      </c>
      <c r="J5" s="1289"/>
      <c r="K5" s="1289"/>
      <c r="L5" s="1290"/>
      <c r="P5" s="1961">
        <v>1</v>
      </c>
      <c r="Q5" s="1401"/>
      <c r="R5" s="277"/>
      <c r="S5" s="1413"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413"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413"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410"/>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401"/>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414"/>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98"/>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98"/>
      <c r="M19" s="1288"/>
      <c r="N19" s="1288"/>
      <c r="O19" s="1288"/>
      <c r="P19" s="1288"/>
      <c r="Q19" s="1297"/>
      <c r="R19" s="1297"/>
      <c r="S19" s="649"/>
      <c r="AL19" s="437"/>
      <c r="AM19" s="437"/>
      <c r="AN19" s="437"/>
      <c r="AO19" s="437"/>
      <c r="AP19" s="437"/>
    </row>
    <row r="20" spans="1:42" s="1292" customFormat="1" ht="12" hidden="1" customHeight="1">
      <c r="L20" s="1398"/>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408"/>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403" t="s">
        <v>1695</v>
      </c>
      <c r="W38" s="1822" t="s">
        <v>507</v>
      </c>
      <c r="X38" s="1821"/>
      <c r="Y38" s="1822" t="s">
        <v>508</v>
      </c>
      <c r="Z38" s="1827"/>
      <c r="AA38" s="1821"/>
      <c r="AB38" s="2059"/>
      <c r="AC38" s="1403" t="s">
        <v>1695</v>
      </c>
      <c r="AD38" s="1822" t="s">
        <v>507</v>
      </c>
      <c r="AE38" s="1821"/>
      <c r="AF38" s="1822" t="s">
        <v>508</v>
      </c>
      <c r="AG38" s="1827"/>
      <c r="AH38" s="1821"/>
      <c r="AI38" s="2059"/>
      <c r="AJ38" s="2062"/>
      <c r="AK38" s="1840"/>
    </row>
    <row r="39" spans="1:42" ht="86.2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403" t="s">
        <v>2111</v>
      </c>
      <c r="W39" s="1138" t="s">
        <v>2112</v>
      </c>
      <c r="X39" s="1138" t="s">
        <v>1700</v>
      </c>
      <c r="Y39" s="1409" t="s">
        <v>518</v>
      </c>
      <c r="Z39" s="1931" t="s">
        <v>519</v>
      </c>
      <c r="AA39" s="1945"/>
      <c r="AB39" s="2060"/>
      <c r="AC39" s="1403" t="s">
        <v>2111</v>
      </c>
      <c r="AD39" s="1138" t="s">
        <v>2112</v>
      </c>
      <c r="AE39" s="1138" t="s">
        <v>1700</v>
      </c>
      <c r="AF39" s="1409" t="s">
        <v>518</v>
      </c>
      <c r="AG39" s="1931" t="s">
        <v>519</v>
      </c>
      <c r="AH39" s="1945"/>
      <c r="AI39" s="2060"/>
      <c r="AJ39" s="2063"/>
      <c r="AK39" s="1840"/>
    </row>
    <row r="40" spans="1:42" s="1566" customFormat="1" ht="11.25"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402">
        <f ca="1">OFFSET(V40,0,-1)+1</f>
        <v>3</v>
      </c>
      <c r="W40" s="1402">
        <f ca="1">OFFSET(W40,0,-1)+1</f>
        <v>4</v>
      </c>
      <c r="X40" s="1402">
        <f ca="1">OFFSET(X40,0,-1)+1</f>
        <v>5</v>
      </c>
      <c r="Y40" s="1402">
        <f ca="1">OFFSET(Y40,0,-1)+1</f>
        <v>6</v>
      </c>
      <c r="Z40" s="2052">
        <f ca="1">OFFSET(Z40,0,-1)+1</f>
        <v>7</v>
      </c>
      <c r="AA40" s="2052"/>
      <c r="AB40" s="1402">
        <f ca="1">OFFSET(AB40,0,-2)+1</f>
        <v>8</v>
      </c>
      <c r="AC40" s="1402">
        <f ca="1">OFFSET(AC40,0,-1)+1</f>
        <v>9</v>
      </c>
      <c r="AD40" s="1402">
        <f ca="1">OFFSET(AD40,0,-1)+1</f>
        <v>10</v>
      </c>
      <c r="AE40" s="1402">
        <f ca="1">OFFSET(AE40,0,-1)+1</f>
        <v>11</v>
      </c>
      <c r="AF40" s="1402">
        <f ca="1">OFFSET(AF40,0,-1)+1</f>
        <v>12</v>
      </c>
      <c r="AG40" s="2052">
        <f ca="1">OFFSET(AG40,0,-1)+1</f>
        <v>13</v>
      </c>
      <c r="AH40" s="2052"/>
      <c r="AI40" s="1402">
        <f ca="1">OFFSET(AI40,0,-2)+1</f>
        <v>14</v>
      </c>
      <c r="AJ40" s="1164">
        <f ca="1">OFFSET(AJ40,0,-1)</f>
        <v>14</v>
      </c>
      <c r="AK40" s="1402">
        <f ca="1">OFFSET(AK40,0,-1)+1</f>
        <v>15</v>
      </c>
      <c r="AL40" s="437"/>
      <c r="AM40" s="437"/>
      <c r="AN40" s="437"/>
      <c r="AO40" s="437"/>
      <c r="AP40" s="437"/>
    </row>
    <row r="41" spans="1:42" ht="23.25" customHeight="1">
      <c r="A41" s="1289" t="s">
        <v>248</v>
      </c>
      <c r="B41" s="1289"/>
      <c r="C41" s="1289"/>
      <c r="D41" s="1289"/>
      <c r="E41" s="2042">
        <v>1</v>
      </c>
      <c r="F41" s="1289"/>
      <c r="G41" s="1289"/>
      <c r="H41" s="1289"/>
      <c r="I41" s="1289"/>
      <c r="J41" s="1289"/>
      <c r="K41" s="1289"/>
      <c r="L41" s="1290"/>
      <c r="M41" s="1291"/>
      <c r="N41" s="1291"/>
      <c r="O41" s="1291"/>
      <c r="P41" s="282"/>
      <c r="Q41" s="281"/>
      <c r="R41" s="276"/>
      <c r="S41" s="1413">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248</v>
      </c>
      <c r="B42" s="1289" t="s">
        <v>249</v>
      </c>
      <c r="C42" s="1289"/>
      <c r="D42" s="1289"/>
      <c r="E42" s="2043"/>
      <c r="F42" s="2042">
        <v>1</v>
      </c>
      <c r="G42" s="1289"/>
      <c r="H42" s="1289"/>
      <c r="I42" s="1289"/>
      <c r="J42" s="1289"/>
      <c r="K42" s="1289"/>
      <c r="L42" s="1290"/>
      <c r="M42" s="1291"/>
      <c r="N42" s="1291"/>
      <c r="O42" s="1291"/>
      <c r="P42" s="1407"/>
      <c r="Q42" s="273"/>
      <c r="R42" s="274"/>
      <c r="S42" s="1413"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248</v>
      </c>
      <c r="B43" s="1289" t="s">
        <v>249</v>
      </c>
      <c r="C43" s="1289" t="s">
        <v>250</v>
      </c>
      <c r="D43" s="1289"/>
      <c r="E43" s="2043"/>
      <c r="F43" s="2043"/>
      <c r="G43" s="2042">
        <v>1</v>
      </c>
      <c r="H43" s="1289"/>
      <c r="I43" s="1289"/>
      <c r="J43" s="1289"/>
      <c r="K43" s="1289"/>
      <c r="L43" s="1290"/>
      <c r="M43" s="1291"/>
      <c r="N43" s="1291"/>
      <c r="O43" s="1291"/>
      <c r="P43" s="275"/>
      <c r="Q43" s="273"/>
      <c r="R43" s="274"/>
      <c r="S43" s="1413" t="str">
        <f>INDEX(PT_DIFFERENTIATION_NUM_CS,MATCH(C43,PT_DIFFERENTIATION_CS_ID,0))</f>
        <v>..</v>
      </c>
      <c r="T43" s="225" t="s">
        <v>2109</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2110</v>
      </c>
      <c r="AM43" s="426"/>
      <c r="AN43" s="426" t="str">
        <f t="shared" si="1"/>
        <v>Наименование централизованной системы водоотведения</v>
      </c>
      <c r="AO43" s="426"/>
      <c r="AP43" s="426"/>
    </row>
    <row r="44" spans="1:42" ht="23.25" customHeight="1">
      <c r="A44" s="1289" t="s">
        <v>248</v>
      </c>
      <c r="B44" s="1289" t="s">
        <v>249</v>
      </c>
      <c r="C44" s="1289" t="s">
        <v>250</v>
      </c>
      <c r="D44" s="1289" t="s">
        <v>2113</v>
      </c>
      <c r="E44" s="2043"/>
      <c r="F44" s="2043"/>
      <c r="G44" s="2043"/>
      <c r="H44" s="2043"/>
      <c r="I44" s="2044" t="str">
        <f>S43&amp;".1"</f>
        <v>...1</v>
      </c>
      <c r="J44" s="1289"/>
      <c r="K44" s="1289"/>
      <c r="L44" s="1290"/>
      <c r="P44" s="1961">
        <v>1</v>
      </c>
      <c r="Q44" s="1401"/>
      <c r="R44" s="277"/>
      <c r="S44" s="1413"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248</v>
      </c>
      <c r="B45" s="1289" t="s">
        <v>249</v>
      </c>
      <c r="C45" s="1289" t="s">
        <v>250</v>
      </c>
      <c r="D45" s="1289" t="s">
        <v>2113</v>
      </c>
      <c r="E45" s="2043"/>
      <c r="F45" s="2043"/>
      <c r="G45" s="2043"/>
      <c r="H45" s="2043"/>
      <c r="I45" s="2045"/>
      <c r="J45" s="2044" t="str">
        <f>I44&amp;".1"</f>
        <v>...1.1</v>
      </c>
      <c r="K45" s="1289"/>
      <c r="L45" s="1290" t="s">
        <v>481</v>
      </c>
      <c r="P45" s="1961"/>
      <c r="Q45" s="1961">
        <v>1</v>
      </c>
      <c r="R45" s="278"/>
      <c r="S45" s="1413"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248</v>
      </c>
      <c r="B46" s="1289" t="s">
        <v>249</v>
      </c>
      <c r="C46" s="1289" t="s">
        <v>250</v>
      </c>
      <c r="D46" s="1289" t="s">
        <v>2113</v>
      </c>
      <c r="E46" s="2043"/>
      <c r="F46" s="2043"/>
      <c r="G46" s="2043"/>
      <c r="H46" s="2043"/>
      <c r="I46" s="2045"/>
      <c r="J46" s="2045"/>
      <c r="K46" s="2044" t="str">
        <f>J45&amp;".1"</f>
        <v>...1.1.1</v>
      </c>
      <c r="L46" s="1290"/>
      <c r="P46" s="1961"/>
      <c r="Q46" s="1961"/>
      <c r="R46" s="278">
        <v>1</v>
      </c>
      <c r="S46" s="1413" t="str">
        <f>$K46</f>
        <v>...1.1.1</v>
      </c>
      <c r="T46" s="1362"/>
      <c r="U46" s="214"/>
      <c r="V46" s="1286"/>
      <c r="W46" s="1286"/>
      <c r="X46" s="1287"/>
      <c r="Y46" s="2040"/>
      <c r="Z46" s="2039" t="s">
        <v>58</v>
      </c>
      <c r="AA46" s="2040"/>
      <c r="AB46" s="2039" t="s">
        <v>58</v>
      </c>
      <c r="AC46" s="669"/>
      <c r="AD46" s="669"/>
      <c r="AE46" s="1186"/>
      <c r="AF46" s="2046"/>
      <c r="AG46" s="1850" t="s">
        <v>58</v>
      </c>
      <c r="AH46" s="2048"/>
      <c r="AI46" s="1850" t="s">
        <v>56</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248</v>
      </c>
      <c r="B47" s="1289" t="s">
        <v>249</v>
      </c>
      <c r="C47" s="1289" t="s">
        <v>250</v>
      </c>
      <c r="D47" s="1289" t="s">
        <v>2113</v>
      </c>
      <c r="E47" s="2043"/>
      <c r="F47" s="2043"/>
      <c r="G47" s="2043"/>
      <c r="H47" s="2043"/>
      <c r="I47" s="2045"/>
      <c r="J47" s="2045"/>
      <c r="K47" s="2044"/>
      <c r="L47" s="1290"/>
      <c r="P47" s="1961"/>
      <c r="Q47" s="1961"/>
      <c r="R47" s="278"/>
      <c r="S47" s="1410"/>
      <c r="T47" s="214"/>
      <c r="U47" s="214"/>
      <c r="V47" s="1286"/>
      <c r="W47" s="1286"/>
      <c r="X47" s="250" t="str">
        <f>Y46&amp;"-"&amp;AA46</f>
        <v>-</v>
      </c>
      <c r="Y47" s="2039"/>
      <c r="Z47" s="2039"/>
      <c r="AA47" s="2039"/>
      <c r="AB47" s="2039"/>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248</v>
      </c>
      <c r="B48" s="1289" t="s">
        <v>249</v>
      </c>
      <c r="C48" s="1289" t="s">
        <v>250</v>
      </c>
      <c r="D48" s="1289" t="s">
        <v>2113</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248</v>
      </c>
      <c r="B49" s="1289" t="s">
        <v>249</v>
      </c>
      <c r="C49" s="1289" t="s">
        <v>250</v>
      </c>
      <c r="D49" s="1289" t="s">
        <v>2113</v>
      </c>
      <c r="E49" s="2043"/>
      <c r="F49" s="2043"/>
      <c r="G49" s="2043"/>
      <c r="H49" s="2043"/>
      <c r="I49" s="2044"/>
      <c r="J49" s="1289"/>
      <c r="K49" s="1289"/>
      <c r="L49" s="1290"/>
      <c r="P49" s="1961"/>
      <c r="Q49" s="1401"/>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248</v>
      </c>
      <c r="B50" s="1289" t="s">
        <v>249</v>
      </c>
      <c r="C50" s="1289" t="s">
        <v>250</v>
      </c>
      <c r="D50" s="1289" t="s">
        <v>2113</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248</v>
      </c>
      <c r="B51" s="1270" t="s">
        <v>249</v>
      </c>
      <c r="C51" s="1242"/>
      <c r="D51" s="1242"/>
      <c r="E51" s="2043"/>
      <c r="F51" s="2042"/>
      <c r="G51" s="1242"/>
      <c r="H51" s="1242"/>
      <c r="I51" s="1242"/>
      <c r="J51" s="1242"/>
      <c r="K51" s="1242"/>
      <c r="L51" s="1414"/>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248</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414"/>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2114</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2115</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1793" hidden="1" customWidth="1"/>
    <col min="13" max="14" width="12.296875" style="1704" hidden="1" customWidth="1"/>
    <col min="15" max="15" width="23.3984375" style="1704" hidden="1" customWidth="1"/>
    <col min="16" max="16" width="3.69921875" style="1794" customWidth="1"/>
    <col min="17" max="18" width="3.69921875" style="265" customWidth="1"/>
    <col min="19" max="19" width="12.69921875" style="1795" customWidth="1"/>
    <col min="20" max="20" width="35.6992187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31" width="24.69921875" style="1560" customWidth="1"/>
    <col min="32" max="32" width="11.69921875" style="1560" customWidth="1"/>
    <col min="33" max="33" width="3.69921875" style="1560" customWidth="1"/>
    <col min="34" max="34" width="11.69921875" style="1560" customWidth="1"/>
    <col min="35" max="35" width="8.59765625" style="1560" hidden="1" customWidth="1"/>
    <col min="36" max="36" width="4.69921875" style="1560" customWidth="1"/>
    <col min="37" max="37" width="115.69921875" style="1560" customWidth="1"/>
    <col min="38" max="39" width="10.59765625" style="1567"/>
    <col min="40" max="40" width="11.09765625" style="1567" customWidth="1"/>
    <col min="41" max="42" width="10.59765625" style="1567"/>
  </cols>
  <sheetData>
    <row r="1" spans="1:42" ht="14.25" hidden="1" customHeight="1">
      <c r="X1" s="249"/>
      <c r="Y1" s="249"/>
      <c r="AE1" s="249"/>
      <c r="AF1" s="249"/>
    </row>
    <row r="2" spans="1:42" ht="23.25" hidden="1" customHeight="1">
      <c r="A2" s="1289"/>
      <c r="B2" s="1289"/>
      <c r="C2" s="1289"/>
      <c r="D2" s="1289"/>
      <c r="E2" s="2042">
        <v>1</v>
      </c>
      <c r="F2" s="1289"/>
      <c r="G2" s="1289"/>
      <c r="H2" s="1289"/>
      <c r="I2" s="1289"/>
      <c r="J2" s="1289"/>
      <c r="K2" s="1289"/>
      <c r="L2" s="1290"/>
      <c r="M2" s="1291"/>
      <c r="N2" s="1291"/>
      <c r="O2" s="1291"/>
      <c r="P2" s="282"/>
      <c r="Q2" s="281"/>
      <c r="R2" s="276"/>
      <c r="S2" s="1413" t="e">
        <f>INDEX(PT_DIFFERENTIATION_NUM_NTAR,MATCH(A2,PT_DIFFERENTIATION_NTAR_ID,0))</f>
        <v>#N/A</v>
      </c>
      <c r="T2" s="212" t="s">
        <v>119</v>
      </c>
      <c r="U2" s="214"/>
      <c r="V2" s="2036"/>
      <c r="W2" s="2037"/>
      <c r="X2" s="2037"/>
      <c r="Y2" s="2037"/>
      <c r="Z2" s="2037"/>
      <c r="AA2" s="2037"/>
      <c r="AB2" s="2038"/>
      <c r="AC2" s="2036" t="e">
        <f>INDEX(PT_DIFFERENTIATION_NTAR,MATCH(A2,PT_DIFFERENTIATION_NTAR_ID,0))</f>
        <v>#N/A</v>
      </c>
      <c r="AD2" s="2037"/>
      <c r="AE2" s="2037"/>
      <c r="AF2" s="2037"/>
      <c r="AG2" s="2037"/>
      <c r="AH2" s="2037"/>
      <c r="AI2" s="2037"/>
      <c r="AJ2" s="2038"/>
      <c r="AK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6"/>
      <c r="AN2" s="426" t="str">
        <f t="shared" ref="AN2:AN13" si="0">IF(T2="","",T2)</f>
        <v>Наименование тарифа</v>
      </c>
      <c r="AO2" s="426"/>
      <c r="AP2" s="426"/>
    </row>
    <row r="3" spans="1:42" ht="23.25" hidden="1" customHeight="1">
      <c r="A3" s="1289"/>
      <c r="B3" s="1289"/>
      <c r="C3" s="1289"/>
      <c r="D3" s="1289"/>
      <c r="E3" s="2043"/>
      <c r="F3" s="2042">
        <v>1</v>
      </c>
      <c r="G3" s="1289"/>
      <c r="H3" s="1289"/>
      <c r="I3" s="1289"/>
      <c r="J3" s="1289"/>
      <c r="K3" s="1289"/>
      <c r="L3" s="1290"/>
      <c r="M3" s="1291"/>
      <c r="N3" s="1291"/>
      <c r="O3" s="1291"/>
      <c r="P3" s="1407"/>
      <c r="Q3" s="273"/>
      <c r="R3" s="274"/>
      <c r="S3" s="1413" t="e">
        <f>INDEX(PT_DIFFERENTIATION_NUM_TER,MATCH(B3,PT_DIFFERENTIATION_TER_ID,0))</f>
        <v>#N/A</v>
      </c>
      <c r="T3" s="224" t="s">
        <v>472</v>
      </c>
      <c r="U3" s="214"/>
      <c r="V3" s="2036"/>
      <c r="W3" s="2037"/>
      <c r="X3" s="2037"/>
      <c r="Y3" s="2037"/>
      <c r="Z3" s="2037"/>
      <c r="AA3" s="2037"/>
      <c r="AB3" s="2038"/>
      <c r="AC3" s="2036" t="e">
        <f>INDEX(PT_DIFFERENTIATION_TER,MATCH(B3,PT_DIFFERENTIATION_TER_ID,0))</f>
        <v>#N/A</v>
      </c>
      <c r="AD3" s="2037"/>
      <c r="AE3" s="2037"/>
      <c r="AF3" s="2037"/>
      <c r="AG3" s="2037"/>
      <c r="AH3" s="2037"/>
      <c r="AI3" s="2037"/>
      <c r="AJ3" s="2038"/>
      <c r="AK3" s="1187" t="s">
        <v>473</v>
      </c>
      <c r="AM3" s="426"/>
      <c r="AN3" s="426" t="str">
        <f t="shared" si="0"/>
        <v>Территория действия тарифа</v>
      </c>
      <c r="AO3" s="426"/>
      <c r="AP3" s="426"/>
    </row>
    <row r="4" spans="1:42" ht="23.25" hidden="1" customHeight="1">
      <c r="A4" s="1289"/>
      <c r="B4" s="1289"/>
      <c r="C4" s="1289"/>
      <c r="D4" s="1289"/>
      <c r="E4" s="2043"/>
      <c r="F4" s="2043"/>
      <c r="G4" s="2042">
        <v>1</v>
      </c>
      <c r="H4" s="1289"/>
      <c r="I4" s="1289"/>
      <c r="J4" s="1289"/>
      <c r="K4" s="1289"/>
      <c r="L4" s="1290"/>
      <c r="M4" s="1291"/>
      <c r="N4" s="1291"/>
      <c r="O4" s="1291"/>
      <c r="P4" s="275"/>
      <c r="Q4" s="273"/>
      <c r="R4" s="274"/>
      <c r="S4" s="1413" t="e">
        <f>INDEX(PT_DIFFERENTIATION_NUM_CS,MATCH(C4,PT_DIFFERENTIATION_CS_ID,0))</f>
        <v>#N/A</v>
      </c>
      <c r="T4" s="225" t="s">
        <v>2109</v>
      </c>
      <c r="U4" s="214"/>
      <c r="V4" s="2036"/>
      <c r="W4" s="2037"/>
      <c r="X4" s="2037"/>
      <c r="Y4" s="2037"/>
      <c r="Z4" s="2037"/>
      <c r="AA4" s="2037"/>
      <c r="AB4" s="2038"/>
      <c r="AC4" s="2036" t="e">
        <f>INDEX(PT_DIFFERENTIATION_CS,MATCH(C4,PT_DIFFERENTIATION_CS_ID,0))</f>
        <v>#N/A</v>
      </c>
      <c r="AD4" s="2037"/>
      <c r="AE4" s="2037"/>
      <c r="AF4" s="2037"/>
      <c r="AG4" s="2037"/>
      <c r="AH4" s="2037"/>
      <c r="AI4" s="2037"/>
      <c r="AJ4" s="2038"/>
      <c r="AK4" s="1187" t="s">
        <v>2110</v>
      </c>
      <c r="AM4" s="426"/>
      <c r="AN4" s="426" t="str">
        <f t="shared" si="0"/>
        <v>Наименование централизованной системы водоотведения</v>
      </c>
      <c r="AO4" s="426"/>
      <c r="AP4" s="426"/>
    </row>
    <row r="5" spans="1:42" ht="23.25" hidden="1" customHeight="1">
      <c r="A5" s="1289"/>
      <c r="B5" s="1289"/>
      <c r="C5" s="1289"/>
      <c r="D5" s="1289"/>
      <c r="E5" s="2043"/>
      <c r="F5" s="2043"/>
      <c r="G5" s="2043"/>
      <c r="H5" s="2043"/>
      <c r="I5" s="2044" t="e">
        <f>S4&amp;".1"</f>
        <v>#N/A</v>
      </c>
      <c r="J5" s="1289"/>
      <c r="K5" s="1289"/>
      <c r="L5" s="1290"/>
      <c r="P5" s="1961">
        <v>1</v>
      </c>
      <c r="Q5" s="1401"/>
      <c r="R5" s="277"/>
      <c r="S5" s="1413" t="e">
        <f>$I5</f>
        <v>#N/A</v>
      </c>
      <c r="T5" s="200" t="s">
        <v>1689</v>
      </c>
      <c r="U5" s="214"/>
      <c r="V5" s="2142"/>
      <c r="W5" s="2143"/>
      <c r="X5" s="2143"/>
      <c r="Y5" s="2143"/>
      <c r="Z5" s="2143"/>
      <c r="AA5" s="2143"/>
      <c r="AB5" s="2144"/>
      <c r="AC5" s="2145"/>
      <c r="AD5" s="2146"/>
      <c r="AE5" s="2146"/>
      <c r="AF5" s="2146"/>
      <c r="AG5" s="2146"/>
      <c r="AH5" s="2146"/>
      <c r="AI5" s="2146"/>
      <c r="AJ5" s="2147"/>
      <c r="AK5" s="1187" t="s">
        <v>1690</v>
      </c>
      <c r="AM5" s="426"/>
      <c r="AN5" s="426" t="str">
        <f t="shared" si="0"/>
        <v>Наименование признака дифференциации</v>
      </c>
      <c r="AO5" s="426"/>
      <c r="AP5" s="426"/>
    </row>
    <row r="6" spans="1:42" ht="23.25" hidden="1" customHeight="1">
      <c r="A6" s="1289"/>
      <c r="B6" s="1289"/>
      <c r="C6" s="1289"/>
      <c r="D6" s="1289"/>
      <c r="E6" s="2043"/>
      <c r="F6" s="2043"/>
      <c r="G6" s="2043"/>
      <c r="H6" s="2043"/>
      <c r="I6" s="2045"/>
      <c r="J6" s="2044" t="e">
        <f>I5&amp;".1"</f>
        <v>#N/A</v>
      </c>
      <c r="K6" s="1289"/>
      <c r="L6" s="1290" t="s">
        <v>481</v>
      </c>
      <c r="P6" s="1961"/>
      <c r="Q6" s="1961">
        <v>1</v>
      </c>
      <c r="R6" s="278"/>
      <c r="S6" s="1413" t="e">
        <f>$J6</f>
        <v>#N/A</v>
      </c>
      <c r="T6" s="201" t="s">
        <v>482</v>
      </c>
      <c r="U6" s="214"/>
      <c r="V6" s="2030"/>
      <c r="W6" s="2031"/>
      <c r="X6" s="2031"/>
      <c r="Y6" s="2031"/>
      <c r="Z6" s="2031"/>
      <c r="AA6" s="2031"/>
      <c r="AB6" s="2032"/>
      <c r="AC6" s="2030"/>
      <c r="AD6" s="2031"/>
      <c r="AE6" s="2031"/>
      <c r="AF6" s="2031"/>
      <c r="AG6" s="2031"/>
      <c r="AH6" s="2031"/>
      <c r="AI6" s="2031"/>
      <c r="AJ6" s="2032"/>
      <c r="AK6" s="1236" t="s">
        <v>1691</v>
      </c>
      <c r="AM6" s="426"/>
      <c r="AN6" s="426" t="str">
        <f t="shared" si="0"/>
        <v>Группа потребителей</v>
      </c>
      <c r="AO6" s="426"/>
      <c r="AP6" s="426"/>
    </row>
    <row r="7" spans="1:42" ht="23.25" hidden="1" customHeight="1">
      <c r="A7" s="1289"/>
      <c r="B7" s="1289"/>
      <c r="C7" s="1289"/>
      <c r="D7" s="1289"/>
      <c r="E7" s="2043"/>
      <c r="F7" s="2043"/>
      <c r="G7" s="2043"/>
      <c r="H7" s="2043"/>
      <c r="I7" s="2045"/>
      <c r="J7" s="2045"/>
      <c r="K7" s="2044" t="e">
        <f>J6&amp;".1"</f>
        <v>#N/A</v>
      </c>
      <c r="L7" s="1290"/>
      <c r="P7" s="1961"/>
      <c r="Q7" s="1961"/>
      <c r="R7" s="278">
        <v>1</v>
      </c>
      <c r="S7" s="1413" t="e">
        <f>$K7</f>
        <v>#N/A</v>
      </c>
      <c r="T7" s="1362"/>
      <c r="U7" s="214"/>
      <c r="V7" s="669"/>
      <c r="W7" s="669"/>
      <c r="X7" s="1186"/>
      <c r="Y7" s="2046"/>
      <c r="Z7" s="1850" t="s">
        <v>58</v>
      </c>
      <c r="AA7" s="2046"/>
      <c r="AB7" s="1850" t="s">
        <v>58</v>
      </c>
      <c r="AC7" s="669"/>
      <c r="AD7" s="669"/>
      <c r="AE7" s="1186"/>
      <c r="AF7" s="2046"/>
      <c r="AG7" s="1850" t="s">
        <v>58</v>
      </c>
      <c r="AH7" s="2048"/>
      <c r="AI7" s="1850" t="s">
        <v>58</v>
      </c>
      <c r="AJ7" s="1363"/>
      <c r="AK7"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7" t="e">
        <f ca="1">STRCHECKDATE(V8:AJ8)</f>
        <v>#NAME?</v>
      </c>
      <c r="AM7" s="426"/>
      <c r="AN7" s="426" t="str">
        <f t="shared" si="0"/>
        <v/>
      </c>
      <c r="AO7" s="426"/>
      <c r="AP7" s="426"/>
    </row>
    <row r="8" spans="1:42" ht="14.25" hidden="1" customHeight="1">
      <c r="A8" s="1289"/>
      <c r="B8" s="1289"/>
      <c r="C8" s="1289"/>
      <c r="D8" s="1289"/>
      <c r="E8" s="2043"/>
      <c r="F8" s="2043"/>
      <c r="G8" s="2043"/>
      <c r="H8" s="2043"/>
      <c r="I8" s="2045"/>
      <c r="J8" s="2045"/>
      <c r="K8" s="2044"/>
      <c r="L8" s="1290"/>
      <c r="P8" s="1961"/>
      <c r="Q8" s="1961"/>
      <c r="R8" s="278"/>
      <c r="S8" s="1410"/>
      <c r="T8" s="214"/>
      <c r="U8" s="214"/>
      <c r="V8" s="246"/>
      <c r="W8" s="246"/>
      <c r="X8" s="250" t="str">
        <f>Y7&amp;"-"&amp;AA7</f>
        <v>-</v>
      </c>
      <c r="Y8" s="2047"/>
      <c r="Z8" s="1850"/>
      <c r="AA8" s="2047"/>
      <c r="AB8" s="1850"/>
      <c r="AC8" s="246"/>
      <c r="AD8" s="246"/>
      <c r="AE8" s="250" t="str">
        <f>AF7&amp;"-"&amp;AH7</f>
        <v>-</v>
      </c>
      <c r="AF8" s="2047"/>
      <c r="AG8" s="1850"/>
      <c r="AH8" s="2049"/>
      <c r="AI8" s="1850"/>
      <c r="AJ8" s="1364"/>
      <c r="AK8" s="2148"/>
      <c r="AM8" s="426"/>
      <c r="AN8" s="426" t="str">
        <f t="shared" si="0"/>
        <v/>
      </c>
      <c r="AO8" s="426"/>
      <c r="AP8" s="426"/>
    </row>
    <row r="9" spans="1:42" ht="21" hidden="1" customHeight="1">
      <c r="A9" s="1289"/>
      <c r="B9" s="1289"/>
      <c r="C9" s="1289"/>
      <c r="D9" s="1289"/>
      <c r="E9" s="2043"/>
      <c r="F9" s="2043"/>
      <c r="G9" s="2043"/>
      <c r="H9" s="2043"/>
      <c r="I9" s="2045"/>
      <c r="J9" s="2044"/>
      <c r="K9" s="1289"/>
      <c r="L9" s="1290"/>
      <c r="P9" s="1961"/>
      <c r="Q9" s="1961"/>
      <c r="R9" s="277"/>
      <c r="S9" s="1208"/>
      <c r="T9" s="202" t="s">
        <v>1692</v>
      </c>
      <c r="U9" s="291"/>
      <c r="V9" s="291"/>
      <c r="W9" s="291"/>
      <c r="X9" s="291"/>
      <c r="Y9" s="291"/>
      <c r="Z9" s="291"/>
      <c r="AA9" s="291"/>
      <c r="AB9" s="291"/>
      <c r="AC9" s="291"/>
      <c r="AD9" s="291"/>
      <c r="AE9" s="291"/>
      <c r="AF9" s="291"/>
      <c r="AG9" s="291"/>
      <c r="AH9" s="291"/>
      <c r="AI9" s="291"/>
      <c r="AJ9" s="291"/>
      <c r="AK9" s="1187" t="s">
        <v>1693</v>
      </c>
      <c r="AM9" s="426"/>
      <c r="AN9" s="426" t="str">
        <f t="shared" si="0"/>
        <v>Добавить значение признака дифференциации</v>
      </c>
      <c r="AO9" s="426"/>
      <c r="AP9" s="426"/>
    </row>
    <row r="10" spans="1:42" ht="21" hidden="1" customHeight="1">
      <c r="A10" s="1289"/>
      <c r="B10" s="1289"/>
      <c r="C10" s="1289"/>
      <c r="D10" s="1289"/>
      <c r="E10" s="2043"/>
      <c r="F10" s="2043"/>
      <c r="G10" s="2043"/>
      <c r="H10" s="2043"/>
      <c r="I10" s="2044"/>
      <c r="J10" s="1289"/>
      <c r="K10" s="1289"/>
      <c r="L10" s="1290"/>
      <c r="P10" s="1961"/>
      <c r="Q10" s="1401"/>
      <c r="R10" s="277"/>
      <c r="S10" s="1208"/>
      <c r="T10" s="288" t="s">
        <v>487</v>
      </c>
      <c r="U10" s="291"/>
      <c r="V10" s="291"/>
      <c r="W10" s="291"/>
      <c r="X10" s="291"/>
      <c r="Y10" s="291"/>
      <c r="Z10" s="291"/>
      <c r="AA10" s="291"/>
      <c r="AB10" s="290"/>
      <c r="AC10" s="291"/>
      <c r="AD10" s="291"/>
      <c r="AE10" s="291"/>
      <c r="AF10" s="291"/>
      <c r="AG10" s="291"/>
      <c r="AH10" s="291"/>
      <c r="AI10" s="290"/>
      <c r="AJ10" s="291"/>
      <c r="AK10" s="1365"/>
      <c r="AM10" s="426"/>
      <c r="AN10" s="426" t="str">
        <f t="shared" si="0"/>
        <v>Добавить группу потребителей</v>
      </c>
      <c r="AO10" s="426"/>
      <c r="AP10" s="426"/>
    </row>
    <row r="11" spans="1:42" ht="21" hidden="1" customHeight="1">
      <c r="A11" s="1289"/>
      <c r="B11" s="1289"/>
      <c r="C11" s="1289"/>
      <c r="D11" s="1289"/>
      <c r="E11" s="2043"/>
      <c r="F11" s="2043"/>
      <c r="G11" s="2043"/>
      <c r="H11" s="2042"/>
      <c r="I11" s="1289"/>
      <c r="J11" s="1289"/>
      <c r="K11" s="1289"/>
      <c r="L11" s="1290"/>
      <c r="M11" s="1291"/>
      <c r="N11" s="1291"/>
      <c r="O11" s="462"/>
      <c r="P11" s="281"/>
      <c r="Q11" s="299"/>
      <c r="R11" s="276"/>
      <c r="S11" s="1208"/>
      <c r="T11" s="296" t="s">
        <v>1694</v>
      </c>
      <c r="U11" s="291"/>
      <c r="V11" s="291"/>
      <c r="W11" s="291"/>
      <c r="X11" s="291"/>
      <c r="Y11" s="291"/>
      <c r="Z11" s="291"/>
      <c r="AA11" s="291"/>
      <c r="AB11" s="290"/>
      <c r="AC11" s="291"/>
      <c r="AD11" s="291"/>
      <c r="AE11" s="291"/>
      <c r="AF11" s="291"/>
      <c r="AG11" s="291"/>
      <c r="AH11" s="291"/>
      <c r="AI11" s="290"/>
      <c r="AJ11" s="291"/>
      <c r="AK11" s="217"/>
      <c r="AM11" s="426"/>
      <c r="AN11" s="426" t="str">
        <f t="shared" si="0"/>
        <v>Добавить наименование признака дифференциации</v>
      </c>
      <c r="AO11" s="426"/>
      <c r="AP11" s="426"/>
    </row>
    <row r="12" spans="1:42" s="1567" customFormat="1" ht="14.25" hidden="1" customHeight="1">
      <c r="A12" s="1270"/>
      <c r="B12" s="1270"/>
      <c r="C12" s="1242"/>
      <c r="D12" s="1242"/>
      <c r="E12" s="2043"/>
      <c r="F12" s="2042"/>
      <c r="G12" s="1242"/>
      <c r="H12" s="1242"/>
      <c r="I12" s="1242"/>
      <c r="J12" s="1242"/>
      <c r="K12" s="1242"/>
      <c r="L12" s="1414"/>
      <c r="M12" s="1249"/>
      <c r="N12" s="1249"/>
      <c r="P12" s="1244"/>
      <c r="Q12" s="1245"/>
      <c r="R12" s="1244"/>
      <c r="S12" s="1250"/>
      <c r="T12" s="1253" t="s">
        <v>446</v>
      </c>
      <c r="U12" s="1252"/>
      <c r="V12" s="1252"/>
      <c r="W12" s="1252"/>
      <c r="X12" s="1252"/>
      <c r="Y12" s="1252"/>
      <c r="Z12" s="1252"/>
      <c r="AA12" s="1252"/>
      <c r="AB12" s="1252"/>
      <c r="AC12" s="1252"/>
      <c r="AD12" s="1252"/>
      <c r="AE12" s="1252"/>
      <c r="AF12" s="1252"/>
      <c r="AG12" s="1252"/>
      <c r="AH12" s="1252"/>
      <c r="AI12" s="1252"/>
      <c r="AJ12" s="1252"/>
      <c r="AK12" s="1252"/>
      <c r="AM12" s="707"/>
      <c r="AN12" s="707" t="str">
        <f t="shared" si="0"/>
        <v>Добавить централизованную систему для дифференциации</v>
      </c>
      <c r="AO12" s="707"/>
      <c r="AP12" s="707"/>
    </row>
    <row r="13" spans="1:42" s="1567" customFormat="1" ht="14.25" hidden="1" customHeight="1">
      <c r="A13" s="1270"/>
      <c r="B13" s="1270"/>
      <c r="C13" s="1270"/>
      <c r="D13" s="1270"/>
      <c r="E13" s="2042"/>
      <c r="F13" s="1270"/>
      <c r="G13" s="1270"/>
      <c r="H13" s="1270"/>
      <c r="I13" s="1270"/>
      <c r="J13" s="1270"/>
      <c r="K13" s="1270"/>
      <c r="L13" s="1273"/>
      <c r="M13" s="1249"/>
      <c r="N13" s="1249"/>
      <c r="O13" s="444"/>
      <c r="P13" s="308"/>
      <c r="Q13" s="1271"/>
      <c r="R13" s="308"/>
      <c r="S13" s="1250"/>
      <c r="T13" s="1253" t="s">
        <v>447</v>
      </c>
      <c r="U13" s="1252"/>
      <c r="V13" s="1252"/>
      <c r="W13" s="1252"/>
      <c r="X13" s="1252"/>
      <c r="Y13" s="1252"/>
      <c r="Z13" s="1252"/>
      <c r="AA13" s="1252"/>
      <c r="AB13" s="1252"/>
      <c r="AC13" s="1252"/>
      <c r="AD13" s="1252"/>
      <c r="AE13" s="1252"/>
      <c r="AF13" s="1252"/>
      <c r="AG13" s="1252"/>
      <c r="AH13" s="1252"/>
      <c r="AI13" s="1252"/>
      <c r="AJ13" s="1252"/>
      <c r="AK13" s="1252"/>
      <c r="AM13" s="426"/>
      <c r="AN13" s="426" t="str">
        <f t="shared" si="0"/>
        <v>Добавить территорию для дифференциации</v>
      </c>
      <c r="AO13" s="426"/>
      <c r="AP13" s="426"/>
    </row>
    <row r="14" spans="1:42" ht="14.25" hidden="1" customHeight="1">
      <c r="AB14" s="249"/>
      <c r="AI14" s="249"/>
    </row>
    <row r="15" spans="1:42" ht="14.25" hidden="1" customHeight="1">
      <c r="AC15" s="1286"/>
      <c r="AD15" s="1286"/>
      <c r="AE15" s="1287"/>
      <c r="AF15" s="2040"/>
      <c r="AG15" s="2039" t="s">
        <v>58</v>
      </c>
      <c r="AH15" s="2040"/>
      <c r="AI15" s="2039" t="s">
        <v>58</v>
      </c>
    </row>
    <row r="16" spans="1:42" ht="14.25" hidden="1" customHeight="1">
      <c r="AC16" s="1286"/>
      <c r="AD16" s="1286"/>
      <c r="AE16" s="250" t="str">
        <f>AF15&amp;"-"&amp;AH15</f>
        <v>-</v>
      </c>
      <c r="AF16" s="2039"/>
      <c r="AG16" s="2039"/>
      <c r="AH16" s="2039"/>
      <c r="AI16" s="2039"/>
    </row>
    <row r="17" spans="1:42" ht="14.25" hidden="1" customHeight="1">
      <c r="AI17" s="249"/>
    </row>
    <row r="18" spans="1:42" s="1292" customFormat="1" ht="22.5" hidden="1" customHeight="1">
      <c r="L18" s="1398"/>
      <c r="M18" s="1288"/>
      <c r="N18" s="1288"/>
      <c r="O18" s="1293" t="s">
        <v>489</v>
      </c>
      <c r="P18" s="1288"/>
      <c r="Q18" s="1297"/>
      <c r="R18" s="1297"/>
      <c r="S18" s="649"/>
      <c r="Y18" s="1293"/>
      <c r="AA18" s="1293"/>
      <c r="AF18" s="1293"/>
      <c r="AH18" s="1293"/>
      <c r="AL18" s="437"/>
      <c r="AM18" s="437"/>
      <c r="AN18" s="437"/>
      <c r="AO18" s="437"/>
      <c r="AP18" s="437"/>
    </row>
    <row r="19" spans="1:42" s="1292" customFormat="1" ht="14.25" hidden="1" customHeight="1">
      <c r="L19" s="1398"/>
      <c r="M19" s="1288"/>
      <c r="N19" s="1288"/>
      <c r="O19" s="1288"/>
      <c r="P19" s="1288"/>
      <c r="Q19" s="1297"/>
      <c r="R19" s="1297"/>
      <c r="S19" s="649"/>
      <c r="AL19" s="437"/>
      <c r="AM19" s="437"/>
      <c r="AN19" s="437"/>
      <c r="AO19" s="437"/>
      <c r="AP19" s="437"/>
    </row>
    <row r="20" spans="1:42" s="1292" customFormat="1" ht="12" hidden="1" customHeight="1">
      <c r="L20" s="1398"/>
      <c r="M20" s="1288"/>
      <c r="N20" s="1288"/>
      <c r="O20" s="1290" t="s">
        <v>490</v>
      </c>
      <c r="P20" s="1288"/>
      <c r="Q20" s="1366"/>
      <c r="R20" s="1366"/>
      <c r="S20" s="649"/>
      <c r="T20" s="1070" t="s">
        <v>491</v>
      </c>
      <c r="Z20" s="104" t="s">
        <v>492</v>
      </c>
      <c r="AB20" s="104" t="s">
        <v>493</v>
      </c>
      <c r="AC20" s="1070" t="s">
        <v>491</v>
      </c>
      <c r="AG20" s="104" t="s">
        <v>494</v>
      </c>
      <c r="AI20" s="104" t="s">
        <v>493</v>
      </c>
    </row>
    <row r="21" spans="1:42" ht="14.25" hidden="1" customHeight="1">
      <c r="O21" s="1290"/>
    </row>
    <row r="22" spans="1:42" ht="14.25" hidden="1" customHeight="1">
      <c r="O22" s="1290"/>
    </row>
    <row r="23" spans="1:42" ht="14.25" customHeight="1">
      <c r="Q23" s="300"/>
      <c r="R23" s="300"/>
      <c r="S23" s="1205"/>
      <c r="T23" s="286"/>
      <c r="U23" s="286"/>
      <c r="V23" s="435"/>
      <c r="W23" s="435"/>
      <c r="X23" s="435"/>
      <c r="Y23" s="435"/>
      <c r="Z23" s="435"/>
      <c r="AA23" s="435"/>
      <c r="AB23" s="435"/>
      <c r="AC23" s="435"/>
      <c r="AD23" s="435"/>
      <c r="AE23" s="435"/>
      <c r="AF23" s="435"/>
      <c r="AG23" s="435"/>
      <c r="AH23" s="435"/>
      <c r="AI23" s="435"/>
    </row>
    <row r="24" spans="1:42" ht="32.25" customHeight="1">
      <c r="Q24" s="300"/>
      <c r="R24" s="300"/>
      <c r="S24" s="2067"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067"/>
      <c r="U24" s="2067"/>
      <c r="V24" s="2067"/>
      <c r="W24" s="2067"/>
      <c r="X24" s="2067"/>
      <c r="Y24" s="2067"/>
      <c r="Z24" s="2067"/>
      <c r="AA24" s="2067"/>
      <c r="AB24" s="2067"/>
      <c r="AC24" s="2067"/>
      <c r="AD24" s="2067"/>
      <c r="AE24" s="2067"/>
      <c r="AF24" s="2067"/>
      <c r="AG24" s="2067"/>
      <c r="AH24" s="2067"/>
      <c r="AI24" s="1162"/>
    </row>
    <row r="25" spans="1:42" ht="14.25" customHeight="1">
      <c r="Q25" s="300"/>
      <c r="R25" s="300"/>
      <c r="S25" s="1927" t="str">
        <f>IF(org=0,"Не определено",org)</f>
        <v>НАО "СВЕЗА Мантурово"</v>
      </c>
      <c r="T25" s="1927"/>
      <c r="U25" s="1927"/>
      <c r="V25" s="1927"/>
      <c r="W25" s="1927"/>
      <c r="X25" s="1927"/>
      <c r="Y25" s="1927"/>
      <c r="Z25" s="1927"/>
      <c r="AA25" s="1927"/>
      <c r="AB25" s="1927"/>
      <c r="AC25" s="1927"/>
      <c r="AD25" s="1927"/>
      <c r="AE25" s="1927"/>
      <c r="AF25" s="1927"/>
      <c r="AG25" s="1927"/>
      <c r="AH25" s="1927"/>
      <c r="AI25" s="1162"/>
    </row>
    <row r="26" spans="1:42" ht="14.25" hidden="1" customHeight="1">
      <c r="Q26" s="300"/>
      <c r="R26" s="300"/>
      <c r="S26" s="1205"/>
      <c r="T26" s="286"/>
      <c r="U26" s="286"/>
      <c r="V26" s="242"/>
      <c r="W26" s="242"/>
      <c r="X26" s="242"/>
      <c r="Y26" s="242"/>
      <c r="Z26" s="242"/>
      <c r="AA26" s="242"/>
      <c r="AB26" s="242"/>
      <c r="AC26" s="242"/>
      <c r="AD26" s="242"/>
      <c r="AE26" s="242"/>
      <c r="AF26" s="242"/>
      <c r="AG26" s="242"/>
      <c r="AH26" s="242"/>
      <c r="AI26" s="242"/>
      <c r="AJ26" s="435"/>
    </row>
    <row r="27" spans="1:42" s="1781" customFormat="1" ht="25.5" hidden="1" customHeight="1">
      <c r="A27" s="1294"/>
      <c r="B27" s="1294"/>
      <c r="C27" s="1294"/>
      <c r="D27" s="1294"/>
      <c r="E27" s="1294"/>
      <c r="F27" s="1294"/>
      <c r="G27" s="1294"/>
      <c r="H27" s="1294"/>
      <c r="I27" s="1294"/>
      <c r="J27" s="1294"/>
      <c r="K27" s="1294"/>
      <c r="L27" s="1295"/>
      <c r="M27" s="1294"/>
      <c r="N27" s="1294"/>
      <c r="O27" s="1294"/>
      <c r="S27" s="2033" t="s">
        <v>39</v>
      </c>
      <c r="T27" s="2033"/>
      <c r="U27" s="1298"/>
      <c r="V27" s="2035" t="str">
        <f>IF(TITLE_NAME_OR_PR_CHANGE="",IF(TITLE_NAME_OR_PR="","",TITLE_NAME_OR_PR),TITLE_NAME_OR_PR_CHANGE)</f>
        <v/>
      </c>
      <c r="W27" s="2035"/>
      <c r="X27" s="2035"/>
      <c r="Y27" s="2035"/>
      <c r="Z27" s="2035"/>
      <c r="AA27" s="2035"/>
      <c r="AB27" s="248"/>
      <c r="AC27" s="2035" t="str">
        <f>IF(TITLE_NAME_OR_PR_CHANGE="",IF(TITLE_NAME_OR_PR="","",TITLE_NAME_OR_PR),TITLE_NAME_OR_PR_CHANGE)</f>
        <v/>
      </c>
      <c r="AD27" s="2035"/>
      <c r="AE27" s="2035"/>
      <c r="AF27" s="2035"/>
      <c r="AG27" s="2035"/>
      <c r="AH27" s="2035"/>
      <c r="AI27" s="248"/>
      <c r="AJ27" s="248"/>
      <c r="AK27" s="196"/>
      <c r="AL27" s="292"/>
      <c r="AM27" s="292"/>
      <c r="AN27" s="292"/>
      <c r="AO27" s="292"/>
      <c r="AP27" s="292"/>
    </row>
    <row r="28" spans="1:42" s="1781" customFormat="1" ht="18.75" hidden="1" customHeight="1">
      <c r="A28" s="1294"/>
      <c r="B28" s="1294"/>
      <c r="C28" s="1294"/>
      <c r="D28" s="1294"/>
      <c r="E28" s="1294"/>
      <c r="F28" s="1294"/>
      <c r="G28" s="1294"/>
      <c r="H28" s="1294"/>
      <c r="I28" s="1294"/>
      <c r="J28" s="1294"/>
      <c r="K28" s="1294"/>
      <c r="L28" s="1295"/>
      <c r="M28" s="1294"/>
      <c r="N28" s="1294"/>
      <c r="O28" s="1294"/>
      <c r="S28" s="2033" t="s">
        <v>495</v>
      </c>
      <c r="T28" s="2033"/>
      <c r="U28" s="1298"/>
      <c r="V28" s="2034" t="str">
        <f>IF(TITLE_DATE_CHANGE_PERIOD="",IF(TITLE_DATE_PR="","",TITLE_DATE_PR),TITLE_DATE_CHANGE_PERIOD)</f>
        <v/>
      </c>
      <c r="W28" s="2034"/>
      <c r="X28" s="2034"/>
      <c r="Y28" s="2034"/>
      <c r="Z28" s="2034"/>
      <c r="AA28" s="2034"/>
      <c r="AB28" s="248"/>
      <c r="AC28" s="2034" t="str">
        <f>IF(TITLE_DATE_CHANGE_PERIOD="",IF(TITLE_DATE_PR="","",TITLE_DATE_PR),TITLE_DATE_CHANGE_PERIOD)</f>
        <v/>
      </c>
      <c r="AD28" s="2034"/>
      <c r="AE28" s="2034"/>
      <c r="AF28" s="2034"/>
      <c r="AG28" s="2034"/>
      <c r="AH28" s="2034"/>
      <c r="AI28" s="248"/>
      <c r="AJ28" s="248"/>
      <c r="AK28" s="196"/>
      <c r="AL28" s="292"/>
      <c r="AM28" s="292"/>
      <c r="AN28" s="292"/>
      <c r="AO28" s="292"/>
      <c r="AP28" s="292"/>
    </row>
    <row r="29" spans="1:42" s="1781" customFormat="1" ht="18.75" hidden="1" customHeight="1">
      <c r="A29" s="1294"/>
      <c r="B29" s="1294"/>
      <c r="C29" s="1294"/>
      <c r="D29" s="1294"/>
      <c r="E29" s="1294"/>
      <c r="F29" s="1294"/>
      <c r="G29" s="1294"/>
      <c r="H29" s="1294"/>
      <c r="I29" s="1294"/>
      <c r="J29" s="1294"/>
      <c r="K29" s="1294"/>
      <c r="L29" s="1295"/>
      <c r="M29" s="1294"/>
      <c r="N29" s="1294"/>
      <c r="O29" s="1294"/>
      <c r="S29" s="2033" t="s">
        <v>496</v>
      </c>
      <c r="T29" s="2033"/>
      <c r="U29" s="1298"/>
      <c r="V29" s="2035" t="str">
        <f>IF(TITLE_NUMBER_PR_CHANGE="",IF(TITLE_NUMBER_PR="","",TITLE_NUMBER_PR),TITLE_NUMBER_PR_CHANGE)</f>
        <v/>
      </c>
      <c r="W29" s="2035"/>
      <c r="X29" s="2035"/>
      <c r="Y29" s="2035"/>
      <c r="Z29" s="2035"/>
      <c r="AA29" s="2035"/>
      <c r="AB29" s="248"/>
      <c r="AC29" s="2035" t="str">
        <f>IF(TITLE_NUMBER_PR_CHANGE="",IF(TITLE_NUMBER_PR="","",TITLE_NUMBER_PR),TITLE_NUMBER_PR_CHANGE)</f>
        <v/>
      </c>
      <c r="AD29" s="2035"/>
      <c r="AE29" s="2035"/>
      <c r="AF29" s="2035"/>
      <c r="AG29" s="2035"/>
      <c r="AH29" s="2035"/>
      <c r="AI29" s="248"/>
      <c r="AJ29" s="248"/>
      <c r="AK29" s="196"/>
      <c r="AL29" s="292"/>
      <c r="AM29" s="292"/>
      <c r="AN29" s="292"/>
      <c r="AO29" s="292"/>
      <c r="AP29" s="292"/>
    </row>
    <row r="30" spans="1:42" s="1781" customFormat="1" ht="18.75" hidden="1" customHeight="1">
      <c r="A30" s="1294"/>
      <c r="B30" s="1294"/>
      <c r="C30" s="1294"/>
      <c r="D30" s="1294"/>
      <c r="E30" s="1294"/>
      <c r="F30" s="1294"/>
      <c r="G30" s="1294"/>
      <c r="H30" s="1294"/>
      <c r="I30" s="1294"/>
      <c r="J30" s="1294"/>
      <c r="K30" s="1294"/>
      <c r="L30" s="1295"/>
      <c r="M30" s="1294"/>
      <c r="N30" s="1294"/>
      <c r="O30" s="1294"/>
      <c r="S30" s="2033" t="s">
        <v>40</v>
      </c>
      <c r="T30" s="2033"/>
      <c r="U30" s="1298"/>
      <c r="V30" s="2035" t="str">
        <f>IF(TITLE_IST_PUB_CHANGE="",IF(TITLE_IST_PUB="","",TITLE_IST_PUB),TITLE_IST_PUB_CHANGE)</f>
        <v/>
      </c>
      <c r="W30" s="2035"/>
      <c r="X30" s="2035"/>
      <c r="Y30" s="2035"/>
      <c r="Z30" s="2035"/>
      <c r="AA30" s="2035"/>
      <c r="AB30" s="248"/>
      <c r="AC30" s="2035" t="str">
        <f>IF(TITLE_IST_PUB_CHANGE="",IF(TITLE_IST_PUB="","",TITLE_IST_PUB),TITLE_IST_PUB_CHANGE)</f>
        <v/>
      </c>
      <c r="AD30" s="2035"/>
      <c r="AE30" s="2035"/>
      <c r="AF30" s="2035"/>
      <c r="AG30" s="2035"/>
      <c r="AH30" s="2035"/>
      <c r="AI30" s="248"/>
      <c r="AJ30" s="248"/>
      <c r="AK30" s="196"/>
      <c r="AL30" s="292"/>
      <c r="AM30" s="292"/>
      <c r="AN30" s="292"/>
      <c r="AO30" s="292"/>
      <c r="AP30" s="292"/>
    </row>
    <row r="31" spans="1:42" ht="14.25" hidden="1" customHeight="1">
      <c r="Q31" s="300"/>
      <c r="R31" s="300"/>
      <c r="S31" s="1205"/>
      <c r="T31" s="286"/>
      <c r="U31" s="286"/>
      <c r="V31" s="242"/>
      <c r="W31" s="242"/>
      <c r="X31" s="242"/>
      <c r="Y31" s="242"/>
      <c r="Z31" s="242"/>
      <c r="AA31" s="242"/>
      <c r="AB31" s="242"/>
      <c r="AC31" s="242"/>
      <c r="AD31" s="242"/>
      <c r="AE31" s="242"/>
      <c r="AF31" s="242"/>
      <c r="AG31" s="242"/>
      <c r="AH31" s="242"/>
      <c r="AI31" s="242"/>
      <c r="AJ31" s="435"/>
    </row>
    <row r="32" spans="1:42" s="1781" customFormat="1" ht="18.75" hidden="1" customHeight="1">
      <c r="A32" s="1294"/>
      <c r="B32" s="1294"/>
      <c r="C32" s="1294"/>
      <c r="D32" s="1294"/>
      <c r="E32" s="1294"/>
      <c r="F32" s="1294"/>
      <c r="G32" s="1294"/>
      <c r="H32" s="1294"/>
      <c r="I32" s="1294"/>
      <c r="J32" s="1294"/>
      <c r="K32" s="1294"/>
      <c r="L32" s="1295"/>
      <c r="M32" s="1294"/>
      <c r="N32" s="1294"/>
      <c r="O32" s="1294"/>
      <c r="S32" s="2033" t="s">
        <v>497</v>
      </c>
      <c r="T32" s="2033"/>
      <c r="U32" s="1298"/>
      <c r="V32" s="2034" t="str">
        <f>IF(TITLE_DATE_CHANGE_PERIOD="",IF(TITLE_DATE_PR="","",TITLE_DATE_PR),TITLE_DATE_CHANGE_PERIOD)</f>
        <v/>
      </c>
      <c r="W32" s="2034"/>
      <c r="X32" s="2034"/>
      <c r="Y32" s="2034"/>
      <c r="Z32" s="2034"/>
      <c r="AA32" s="2034"/>
      <c r="AB32" s="248"/>
      <c r="AC32" s="2034" t="str">
        <f>IF(TITLE_DATE_CHANGE_PERIOD="",IF(TITLE_DATE_PR="","",TITLE_DATE_PR),TITLE_DATE_CHANGE_PERIOD)</f>
        <v/>
      </c>
      <c r="AD32" s="2034"/>
      <c r="AE32" s="2034"/>
      <c r="AF32" s="2034"/>
      <c r="AG32" s="2034"/>
      <c r="AH32" s="2034"/>
      <c r="AI32" s="248"/>
      <c r="AJ32" s="248"/>
      <c r="AK32" s="196"/>
      <c r="AL32" s="292"/>
      <c r="AM32" s="292"/>
      <c r="AN32" s="292"/>
      <c r="AO32" s="292"/>
      <c r="AP32" s="292"/>
    </row>
    <row r="33" spans="1:42" s="1781" customFormat="1" ht="18.75" hidden="1" customHeight="1">
      <c r="A33" s="1294"/>
      <c r="B33" s="1294"/>
      <c r="C33" s="1294"/>
      <c r="D33" s="1294"/>
      <c r="E33" s="1294"/>
      <c r="F33" s="1294"/>
      <c r="G33" s="1294"/>
      <c r="H33" s="1294"/>
      <c r="I33" s="1294"/>
      <c r="J33" s="1294"/>
      <c r="K33" s="1294"/>
      <c r="L33" s="1295"/>
      <c r="M33" s="1294"/>
      <c r="N33" s="1294"/>
      <c r="O33" s="1294"/>
      <c r="S33" s="2033" t="s">
        <v>498</v>
      </c>
      <c r="T33" s="2033"/>
      <c r="U33" s="1298"/>
      <c r="V33" s="2035" t="str">
        <f>IF(TITLE_NUMBER_PR_CHANGE="",IF(TITLE_NUMBER_PR="","",TITLE_NUMBER_PR),TITLE_NUMBER_PR_CHANGE)</f>
        <v/>
      </c>
      <c r="W33" s="2035"/>
      <c r="X33" s="2035"/>
      <c r="Y33" s="2035"/>
      <c r="Z33" s="2035"/>
      <c r="AA33" s="2035"/>
      <c r="AB33" s="248"/>
      <c r="AC33" s="2035" t="str">
        <f>IF(TITLE_NUMBER_PR_CHANGE="",IF(TITLE_NUMBER_PR="","",TITLE_NUMBER_PR),TITLE_NUMBER_PR_CHANGE)</f>
        <v/>
      </c>
      <c r="AD33" s="2035"/>
      <c r="AE33" s="2035"/>
      <c r="AF33" s="2035"/>
      <c r="AG33" s="2035"/>
      <c r="AH33" s="2035"/>
      <c r="AI33" s="248"/>
      <c r="AJ33" s="248"/>
      <c r="AK33" s="196"/>
      <c r="AL33" s="292"/>
      <c r="AM33" s="292"/>
      <c r="AN33" s="292"/>
      <c r="AO33" s="292"/>
      <c r="AP33" s="292"/>
    </row>
    <row r="34" spans="1:42" s="1781" customFormat="1" ht="0.75" customHeight="1">
      <c r="A34" s="1294"/>
      <c r="B34" s="1294"/>
      <c r="C34" s="1294"/>
      <c r="D34" s="1294"/>
      <c r="E34" s="1294"/>
      <c r="F34" s="1294"/>
      <c r="G34" s="1294"/>
      <c r="H34" s="1294"/>
      <c r="I34" s="1294"/>
      <c r="J34" s="1294"/>
      <c r="K34" s="1294"/>
      <c r="L34" s="1295"/>
      <c r="M34" s="1294"/>
      <c r="N34" s="1294"/>
      <c r="O34" s="1294"/>
      <c r="S34" s="244"/>
      <c r="T34" s="244"/>
      <c r="U34" s="1408"/>
      <c r="V34" s="248"/>
      <c r="W34" s="248"/>
      <c r="X34" s="248"/>
      <c r="Y34" s="248"/>
      <c r="Z34" s="248"/>
      <c r="AA34" s="248"/>
      <c r="AB34" s="194" t="s">
        <v>499</v>
      </c>
      <c r="AC34" s="248"/>
      <c r="AD34" s="248"/>
      <c r="AE34" s="248"/>
      <c r="AF34" s="248"/>
      <c r="AG34" s="248"/>
      <c r="AH34" s="248"/>
      <c r="AI34" s="194" t="s">
        <v>499</v>
      </c>
      <c r="AL34" s="292"/>
      <c r="AM34" s="292"/>
      <c r="AN34" s="292"/>
      <c r="AO34" s="292"/>
      <c r="AP34" s="292"/>
    </row>
    <row r="35" spans="1:42" ht="14.25" customHeight="1">
      <c r="Q35" s="300"/>
      <c r="R35" s="300"/>
      <c r="S35" s="1205"/>
      <c r="T35" s="286"/>
      <c r="U35" s="1163"/>
      <c r="V35" s="2053"/>
      <c r="W35" s="2053"/>
      <c r="X35" s="2053"/>
      <c r="Y35" s="2053"/>
      <c r="Z35" s="2053"/>
      <c r="AA35" s="2053"/>
      <c r="AB35" s="2053"/>
      <c r="AC35" s="2053"/>
      <c r="AD35" s="2053"/>
      <c r="AE35" s="2053"/>
      <c r="AF35" s="2053"/>
      <c r="AG35" s="2053"/>
      <c r="AH35" s="2053"/>
      <c r="AI35" s="2053"/>
    </row>
    <row r="36" spans="1:42" ht="14.25" customHeight="1">
      <c r="Q36" s="300"/>
      <c r="R36" s="300"/>
      <c r="S36" s="1840" t="s">
        <v>282</v>
      </c>
      <c r="T36" s="1840"/>
      <c r="U36" s="1840"/>
      <c r="V36" s="1840"/>
      <c r="W36" s="1840"/>
      <c r="X36" s="1840"/>
      <c r="Y36" s="1840"/>
      <c r="Z36" s="1840"/>
      <c r="AA36" s="1840"/>
      <c r="AB36" s="1840"/>
      <c r="AC36" s="1840"/>
      <c r="AD36" s="1840"/>
      <c r="AE36" s="1840"/>
      <c r="AF36" s="1840"/>
      <c r="AG36" s="1840"/>
      <c r="AH36" s="1840"/>
      <c r="AI36" s="1840"/>
      <c r="AJ36" s="1840"/>
      <c r="AK36" s="1840" t="s">
        <v>283</v>
      </c>
    </row>
    <row r="37" spans="1:42" ht="14.25" customHeight="1">
      <c r="Q37" s="300"/>
      <c r="R37" s="300"/>
      <c r="S37" s="2054" t="s">
        <v>87</v>
      </c>
      <c r="T37" s="1925" t="s">
        <v>500</v>
      </c>
      <c r="U37" s="215"/>
      <c r="V37" s="2055" t="s">
        <v>501</v>
      </c>
      <c r="W37" s="2056"/>
      <c r="X37" s="2056"/>
      <c r="Y37" s="2056"/>
      <c r="Z37" s="2056"/>
      <c r="AA37" s="2057"/>
      <c r="AB37" s="2058" t="s">
        <v>502</v>
      </c>
      <c r="AC37" s="2055" t="s">
        <v>501</v>
      </c>
      <c r="AD37" s="2056"/>
      <c r="AE37" s="2056"/>
      <c r="AF37" s="2056"/>
      <c r="AG37" s="2056"/>
      <c r="AH37" s="2057"/>
      <c r="AI37" s="2058" t="s">
        <v>503</v>
      </c>
      <c r="AJ37" s="2061" t="s">
        <v>504</v>
      </c>
      <c r="AK37" s="1840"/>
    </row>
    <row r="38" spans="1:42" ht="33.75" customHeight="1">
      <c r="Q38" s="300"/>
      <c r="R38" s="300"/>
      <c r="S38" s="2054"/>
      <c r="T38" s="1925"/>
      <c r="U38" s="947"/>
      <c r="V38" s="1403" t="s">
        <v>1695</v>
      </c>
      <c r="W38" s="1822" t="s">
        <v>507</v>
      </c>
      <c r="X38" s="1821"/>
      <c r="Y38" s="1822" t="s">
        <v>508</v>
      </c>
      <c r="Z38" s="1827"/>
      <c r="AA38" s="1821"/>
      <c r="AB38" s="2059"/>
      <c r="AC38" s="1403" t="s">
        <v>1695</v>
      </c>
      <c r="AD38" s="1822" t="s">
        <v>507</v>
      </c>
      <c r="AE38" s="1821"/>
      <c r="AF38" s="1822" t="s">
        <v>508</v>
      </c>
      <c r="AG38" s="1827"/>
      <c r="AH38" s="1821"/>
      <c r="AI38" s="2059"/>
      <c r="AJ38" s="2062"/>
      <c r="AK38" s="1840"/>
    </row>
    <row r="39" spans="1:42" ht="86.25" customHeight="1">
      <c r="A39" s="1296"/>
      <c r="B39" s="1296" t="s">
        <v>131</v>
      </c>
      <c r="C39" s="1296" t="s">
        <v>132</v>
      </c>
      <c r="D39" s="1296" t="s">
        <v>133</v>
      </c>
      <c r="E39" s="1290" t="s">
        <v>509</v>
      </c>
      <c r="F39" s="1290" t="s">
        <v>510</v>
      </c>
      <c r="G39" s="1290" t="s">
        <v>511</v>
      </c>
      <c r="H39" s="1290"/>
      <c r="I39" s="1290" t="s">
        <v>1696</v>
      </c>
      <c r="J39" s="1290" t="s">
        <v>514</v>
      </c>
      <c r="K39" s="1290" t="s">
        <v>1697</v>
      </c>
      <c r="L39" s="1290" t="s">
        <v>490</v>
      </c>
      <c r="Q39" s="300"/>
      <c r="R39" s="300"/>
      <c r="S39" s="2054"/>
      <c r="T39" s="1925"/>
      <c r="U39" s="216"/>
      <c r="V39" s="1403" t="s">
        <v>2111</v>
      </c>
      <c r="W39" s="1138" t="s">
        <v>2112</v>
      </c>
      <c r="X39" s="1138" t="s">
        <v>1700</v>
      </c>
      <c r="Y39" s="1409" t="s">
        <v>518</v>
      </c>
      <c r="Z39" s="1931" t="s">
        <v>519</v>
      </c>
      <c r="AA39" s="1945"/>
      <c r="AB39" s="2060"/>
      <c r="AC39" s="1403" t="s">
        <v>2111</v>
      </c>
      <c r="AD39" s="1138" t="s">
        <v>2112</v>
      </c>
      <c r="AE39" s="1138" t="s">
        <v>1700</v>
      </c>
      <c r="AF39" s="1409" t="s">
        <v>518</v>
      </c>
      <c r="AG39" s="1931" t="s">
        <v>519</v>
      </c>
      <c r="AH39" s="1945"/>
      <c r="AI39" s="2060"/>
      <c r="AJ39" s="2063"/>
      <c r="AK39" s="1840"/>
    </row>
    <row r="40" spans="1:42" s="1566" customFormat="1" ht="0" hidden="1" customHeight="1">
      <c r="A40" s="1296"/>
      <c r="B40" s="1296"/>
      <c r="C40" s="1296"/>
      <c r="D40" s="1296"/>
      <c r="E40" s="1296"/>
      <c r="F40" s="1296"/>
      <c r="G40" s="1296"/>
      <c r="H40" s="1296"/>
      <c r="I40" s="1296"/>
      <c r="J40" s="1296"/>
      <c r="K40" s="1296"/>
      <c r="L40" s="1290"/>
      <c r="M40" s="1288"/>
      <c r="N40" s="1288"/>
      <c r="O40" s="1288"/>
      <c r="P40" s="1165"/>
      <c r="Q40" s="1166"/>
      <c r="R40" s="1181">
        <v>1</v>
      </c>
      <c r="S40" s="1207" t="s">
        <v>105</v>
      </c>
      <c r="T40" s="1182" t="s">
        <v>106</v>
      </c>
      <c r="U40" s="1164" t="str">
        <f ca="1">OFFSET(U40,0,-1)</f>
        <v>2</v>
      </c>
      <c r="V40" s="1402">
        <f ca="1">OFFSET(V40,0,-1)+1</f>
        <v>3</v>
      </c>
      <c r="W40" s="1402">
        <f ca="1">OFFSET(W40,0,-1)+1</f>
        <v>4</v>
      </c>
      <c r="X40" s="1402">
        <f ca="1">OFFSET(X40,0,-1)+1</f>
        <v>5</v>
      </c>
      <c r="Y40" s="1402">
        <f ca="1">OFFSET(Y40,0,-1)+1</f>
        <v>6</v>
      </c>
      <c r="Z40" s="2052">
        <f ca="1">OFFSET(Z40,0,-1)+1</f>
        <v>7</v>
      </c>
      <c r="AA40" s="2052"/>
      <c r="AB40" s="1402">
        <f ca="1">OFFSET(AB40,0,-2)+1</f>
        <v>8</v>
      </c>
      <c r="AC40" s="1402">
        <f ca="1">OFFSET(AC40,0,-1)+1</f>
        <v>9</v>
      </c>
      <c r="AD40" s="1402">
        <f ca="1">OFFSET(AD40,0,-1)+1</f>
        <v>10</v>
      </c>
      <c r="AE40" s="1402">
        <f ca="1">OFFSET(AE40,0,-1)+1</f>
        <v>11</v>
      </c>
      <c r="AF40" s="1402">
        <f ca="1">OFFSET(AF40,0,-1)+1</f>
        <v>12</v>
      </c>
      <c r="AG40" s="2052">
        <f ca="1">OFFSET(AG40,0,-1)+1</f>
        <v>13</v>
      </c>
      <c r="AH40" s="2052"/>
      <c r="AI40" s="1402">
        <f ca="1">OFFSET(AI40,0,-2)+1</f>
        <v>14</v>
      </c>
      <c r="AJ40" s="1164">
        <f ca="1">OFFSET(AJ40,0,-1)</f>
        <v>14</v>
      </c>
      <c r="AK40" s="1402">
        <f ca="1">OFFSET(AK40,0,-1)+1</f>
        <v>15</v>
      </c>
      <c r="AL40" s="437"/>
      <c r="AM40" s="437"/>
      <c r="AN40" s="437"/>
      <c r="AO40" s="437"/>
      <c r="AP40" s="437"/>
    </row>
    <row r="41" spans="1:42" ht="23.25" customHeight="1">
      <c r="A41" s="1289" t="s">
        <v>253</v>
      </c>
      <c r="B41" s="1289"/>
      <c r="C41" s="1289"/>
      <c r="D41" s="1289"/>
      <c r="E41" s="2042">
        <v>1</v>
      </c>
      <c r="F41" s="1289"/>
      <c r="G41" s="1289"/>
      <c r="H41" s="1289"/>
      <c r="I41" s="1289"/>
      <c r="J41" s="1289"/>
      <c r="K41" s="1289"/>
      <c r="L41" s="1290"/>
      <c r="M41" s="1291"/>
      <c r="N41" s="1291"/>
      <c r="O41" s="1291"/>
      <c r="P41" s="282"/>
      <c r="Q41" s="281"/>
      <c r="R41" s="276"/>
      <c r="S41" s="1413">
        <f>INDEX(PT_DIFFERENTIATION_NUM_NTAR,MATCH(A41,PT_DIFFERENTIATION_NTAR_ID,0))</f>
        <v>0</v>
      </c>
      <c r="T41" s="212" t="s">
        <v>119</v>
      </c>
      <c r="U41" s="214"/>
      <c r="V41" s="2036"/>
      <c r="W41" s="2037"/>
      <c r="X41" s="2037"/>
      <c r="Y41" s="2037"/>
      <c r="Z41" s="2037"/>
      <c r="AA41" s="2037"/>
      <c r="AB41" s="2038"/>
      <c r="AC41" s="2036" t="str">
        <f>INDEX(PT_DIFFERENTIATION_NTAR,MATCH(A41,PT_DIFFERENTIATION_NTAR_ID,0))</f>
        <v/>
      </c>
      <c r="AD41" s="2037"/>
      <c r="AE41" s="2037"/>
      <c r="AF41" s="2037"/>
      <c r="AG41" s="2037"/>
      <c r="AH41" s="2037"/>
      <c r="AI41" s="2037"/>
      <c r="AJ41" s="2038"/>
      <c r="AK41"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6"/>
      <c r="AN41" s="426" t="str">
        <f t="shared" ref="AN41:AN53" si="1">IF(T41="","",T41)</f>
        <v>Наименование тарифа</v>
      </c>
      <c r="AO41" s="426"/>
      <c r="AP41" s="426"/>
    </row>
    <row r="42" spans="1:42" ht="23.25" customHeight="1">
      <c r="A42" s="1289" t="s">
        <v>253</v>
      </c>
      <c r="B42" s="1289" t="s">
        <v>254</v>
      </c>
      <c r="C42" s="1289"/>
      <c r="D42" s="1289"/>
      <c r="E42" s="2043"/>
      <c r="F42" s="2042">
        <v>1</v>
      </c>
      <c r="G42" s="1289"/>
      <c r="H42" s="1289"/>
      <c r="I42" s="1289"/>
      <c r="J42" s="1289"/>
      <c r="K42" s="1289"/>
      <c r="L42" s="1290"/>
      <c r="M42" s="1291"/>
      <c r="N42" s="1291"/>
      <c r="O42" s="1291"/>
      <c r="P42" s="1407"/>
      <c r="Q42" s="273"/>
      <c r="R42" s="274"/>
      <c r="S42" s="1413" t="str">
        <f>INDEX(PT_DIFFERENTIATION_NUM_TER,MATCH(B42,PT_DIFFERENTIATION_TER_ID,0))</f>
        <v>.</v>
      </c>
      <c r="T42" s="224" t="s">
        <v>472</v>
      </c>
      <c r="U42" s="214"/>
      <c r="V42" s="2036"/>
      <c r="W42" s="2037"/>
      <c r="X42" s="2037"/>
      <c r="Y42" s="2037"/>
      <c r="Z42" s="2037"/>
      <c r="AA42" s="2037"/>
      <c r="AB42" s="2038"/>
      <c r="AC42" s="2036" t="str">
        <f>INDEX(PT_DIFFERENTIATION_TER,MATCH(B42,PT_DIFFERENTIATION_TER_ID,0))</f>
        <v/>
      </c>
      <c r="AD42" s="2037"/>
      <c r="AE42" s="2037"/>
      <c r="AF42" s="2037"/>
      <c r="AG42" s="2037"/>
      <c r="AH42" s="2037"/>
      <c r="AI42" s="2037"/>
      <c r="AJ42" s="2038"/>
      <c r="AK42" s="1187" t="s">
        <v>473</v>
      </c>
      <c r="AM42" s="426"/>
      <c r="AN42" s="426" t="str">
        <f t="shared" si="1"/>
        <v>Территория действия тарифа</v>
      </c>
      <c r="AO42" s="426"/>
      <c r="AP42" s="426"/>
    </row>
    <row r="43" spans="1:42" ht="23.25" customHeight="1">
      <c r="A43" s="1289" t="s">
        <v>253</v>
      </c>
      <c r="B43" s="1289" t="s">
        <v>254</v>
      </c>
      <c r="C43" s="1289" t="s">
        <v>255</v>
      </c>
      <c r="D43" s="1289"/>
      <c r="E43" s="2043"/>
      <c r="F43" s="2043"/>
      <c r="G43" s="2042">
        <v>1</v>
      </c>
      <c r="H43" s="1289"/>
      <c r="I43" s="1289"/>
      <c r="J43" s="1289"/>
      <c r="K43" s="1289"/>
      <c r="L43" s="1290"/>
      <c r="M43" s="1291"/>
      <c r="N43" s="1291"/>
      <c r="O43" s="1291"/>
      <c r="P43" s="275"/>
      <c r="Q43" s="273"/>
      <c r="R43" s="274"/>
      <c r="S43" s="1413" t="str">
        <f>INDEX(PT_DIFFERENTIATION_NUM_CS,MATCH(C43,PT_DIFFERENTIATION_CS_ID,0))</f>
        <v>..</v>
      </c>
      <c r="T43" s="225" t="s">
        <v>2109</v>
      </c>
      <c r="U43" s="214"/>
      <c r="V43" s="2036"/>
      <c r="W43" s="2037"/>
      <c r="X43" s="2037"/>
      <c r="Y43" s="2037"/>
      <c r="Z43" s="2037"/>
      <c r="AA43" s="2037"/>
      <c r="AB43" s="2038"/>
      <c r="AC43" s="2036" t="str">
        <f>INDEX(PT_DIFFERENTIATION_CS,MATCH(C43,PT_DIFFERENTIATION_CS_ID,0))</f>
        <v/>
      </c>
      <c r="AD43" s="2037"/>
      <c r="AE43" s="2037"/>
      <c r="AF43" s="2037"/>
      <c r="AG43" s="2037"/>
      <c r="AH43" s="2037"/>
      <c r="AI43" s="2037"/>
      <c r="AJ43" s="2038"/>
      <c r="AK43" s="1187" t="s">
        <v>2110</v>
      </c>
      <c r="AM43" s="426"/>
      <c r="AN43" s="426" t="str">
        <f t="shared" si="1"/>
        <v>Наименование централизованной системы водоотведения</v>
      </c>
      <c r="AO43" s="426"/>
      <c r="AP43" s="426"/>
    </row>
    <row r="44" spans="1:42" ht="23.25" customHeight="1">
      <c r="A44" s="1289" t="s">
        <v>253</v>
      </c>
      <c r="B44" s="1289" t="s">
        <v>254</v>
      </c>
      <c r="C44" s="1289" t="s">
        <v>255</v>
      </c>
      <c r="D44" s="1289" t="s">
        <v>2116</v>
      </c>
      <c r="E44" s="2043"/>
      <c r="F44" s="2043"/>
      <c r="G44" s="2043"/>
      <c r="H44" s="2043"/>
      <c r="I44" s="2044" t="str">
        <f>S43&amp;".1"</f>
        <v>...1</v>
      </c>
      <c r="J44" s="1289"/>
      <c r="K44" s="1289"/>
      <c r="L44" s="1290"/>
      <c r="P44" s="1961">
        <v>1</v>
      </c>
      <c r="Q44" s="1401"/>
      <c r="R44" s="277"/>
      <c r="S44" s="1413" t="str">
        <f>$I44</f>
        <v>...1</v>
      </c>
      <c r="T44" s="200" t="s">
        <v>1689</v>
      </c>
      <c r="U44" s="214"/>
      <c r="V44" s="2142"/>
      <c r="W44" s="2143"/>
      <c r="X44" s="2143"/>
      <c r="Y44" s="2143"/>
      <c r="Z44" s="2143"/>
      <c r="AA44" s="2143"/>
      <c r="AB44" s="2144"/>
      <c r="AC44" s="2145"/>
      <c r="AD44" s="2146"/>
      <c r="AE44" s="2146"/>
      <c r="AF44" s="2146"/>
      <c r="AG44" s="2146"/>
      <c r="AH44" s="2146"/>
      <c r="AI44" s="2146"/>
      <c r="AJ44" s="2147"/>
      <c r="AK44" s="1187" t="s">
        <v>1690</v>
      </c>
      <c r="AM44" s="426"/>
      <c r="AN44" s="426" t="str">
        <f t="shared" si="1"/>
        <v>Наименование признака дифференциации</v>
      </c>
      <c r="AO44" s="426"/>
      <c r="AP44" s="426"/>
    </row>
    <row r="45" spans="1:42" ht="23.25" customHeight="1">
      <c r="A45" s="1289" t="s">
        <v>253</v>
      </c>
      <c r="B45" s="1289" t="s">
        <v>254</v>
      </c>
      <c r="C45" s="1289" t="s">
        <v>255</v>
      </c>
      <c r="D45" s="1289" t="s">
        <v>2116</v>
      </c>
      <c r="E45" s="2043"/>
      <c r="F45" s="2043"/>
      <c r="G45" s="2043"/>
      <c r="H45" s="2043"/>
      <c r="I45" s="2045"/>
      <c r="J45" s="2044" t="str">
        <f>I44&amp;".1"</f>
        <v>...1.1</v>
      </c>
      <c r="K45" s="1289"/>
      <c r="L45" s="1290" t="s">
        <v>481</v>
      </c>
      <c r="P45" s="1961"/>
      <c r="Q45" s="1961">
        <v>1</v>
      </c>
      <c r="R45" s="278"/>
      <c r="S45" s="1413" t="str">
        <f>$J45</f>
        <v>...1.1</v>
      </c>
      <c r="T45" s="201" t="s">
        <v>482</v>
      </c>
      <c r="U45" s="214"/>
      <c r="V45" s="2030"/>
      <c r="W45" s="2031"/>
      <c r="X45" s="2031"/>
      <c r="Y45" s="2031"/>
      <c r="Z45" s="2031"/>
      <c r="AA45" s="2031"/>
      <c r="AB45" s="2032"/>
      <c r="AC45" s="2030"/>
      <c r="AD45" s="2031"/>
      <c r="AE45" s="2031"/>
      <c r="AF45" s="2031"/>
      <c r="AG45" s="2031"/>
      <c r="AH45" s="2031"/>
      <c r="AI45" s="2031"/>
      <c r="AJ45" s="2032"/>
      <c r="AK45" s="1236" t="s">
        <v>1691</v>
      </c>
      <c r="AM45" s="426"/>
      <c r="AN45" s="426" t="str">
        <f t="shared" si="1"/>
        <v>Группа потребителей</v>
      </c>
      <c r="AO45" s="426"/>
      <c r="AP45" s="426"/>
    </row>
    <row r="46" spans="1:42" ht="23.25" customHeight="1">
      <c r="A46" s="1289" t="s">
        <v>253</v>
      </c>
      <c r="B46" s="1289" t="s">
        <v>254</v>
      </c>
      <c r="C46" s="1289" t="s">
        <v>255</v>
      </c>
      <c r="D46" s="1289" t="s">
        <v>2116</v>
      </c>
      <c r="E46" s="2043"/>
      <c r="F46" s="2043"/>
      <c r="G46" s="2043"/>
      <c r="H46" s="2043"/>
      <c r="I46" s="2045"/>
      <c r="J46" s="2045"/>
      <c r="K46" s="2044" t="str">
        <f>J45&amp;".1"</f>
        <v>...1.1.1</v>
      </c>
      <c r="L46" s="1290"/>
      <c r="P46" s="1961"/>
      <c r="Q46" s="1961"/>
      <c r="R46" s="278">
        <v>1</v>
      </c>
      <c r="S46" s="1413" t="str">
        <f>$K46</f>
        <v>...1.1.1</v>
      </c>
      <c r="T46" s="1362"/>
      <c r="U46" s="214"/>
      <c r="V46" s="1286"/>
      <c r="W46" s="1286"/>
      <c r="X46" s="1287"/>
      <c r="Y46" s="2040"/>
      <c r="Z46" s="2039" t="s">
        <v>58</v>
      </c>
      <c r="AA46" s="2040"/>
      <c r="AB46" s="2039" t="s">
        <v>58</v>
      </c>
      <c r="AC46" s="669"/>
      <c r="AD46" s="669"/>
      <c r="AE46" s="1186"/>
      <c r="AF46" s="2046"/>
      <c r="AG46" s="1850" t="s">
        <v>58</v>
      </c>
      <c r="AH46" s="2048"/>
      <c r="AI46" s="1850" t="s">
        <v>56</v>
      </c>
      <c r="AJ46" s="1363"/>
      <c r="AK46" s="214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7" t="e">
        <f ca="1">STRCHECKDATE(V47:AJ47)</f>
        <v>#NAME?</v>
      </c>
      <c r="AM46" s="426"/>
      <c r="AN46" s="426" t="str">
        <f t="shared" si="1"/>
        <v/>
      </c>
      <c r="AO46" s="426"/>
      <c r="AP46" s="426"/>
    </row>
    <row r="47" spans="1:42" ht="0" hidden="1" customHeight="1">
      <c r="A47" s="1289" t="s">
        <v>253</v>
      </c>
      <c r="B47" s="1289" t="s">
        <v>254</v>
      </c>
      <c r="C47" s="1289" t="s">
        <v>255</v>
      </c>
      <c r="D47" s="1289" t="s">
        <v>2116</v>
      </c>
      <c r="E47" s="2043"/>
      <c r="F47" s="2043"/>
      <c r="G47" s="2043"/>
      <c r="H47" s="2043"/>
      <c r="I47" s="2045"/>
      <c r="J47" s="2045"/>
      <c r="K47" s="2044"/>
      <c r="L47" s="1290"/>
      <c r="P47" s="1961"/>
      <c r="Q47" s="1961"/>
      <c r="R47" s="278"/>
      <c r="S47" s="1410"/>
      <c r="T47" s="214"/>
      <c r="U47" s="214"/>
      <c r="V47" s="1286"/>
      <c r="W47" s="1286"/>
      <c r="X47" s="250" t="str">
        <f>Y46&amp;"-"&amp;AA46</f>
        <v>-</v>
      </c>
      <c r="Y47" s="2039"/>
      <c r="Z47" s="2039"/>
      <c r="AA47" s="2039"/>
      <c r="AB47" s="2039"/>
      <c r="AC47" s="246"/>
      <c r="AD47" s="246"/>
      <c r="AE47" s="250" t="str">
        <f>AF46&amp;"-"&amp;AH46</f>
        <v>-</v>
      </c>
      <c r="AF47" s="2047"/>
      <c r="AG47" s="1850"/>
      <c r="AH47" s="2049"/>
      <c r="AI47" s="1850"/>
      <c r="AJ47" s="1364"/>
      <c r="AK47" s="2148"/>
      <c r="AM47" s="426"/>
      <c r="AN47" s="426" t="str">
        <f t="shared" si="1"/>
        <v/>
      </c>
      <c r="AO47" s="426"/>
      <c r="AP47" s="426"/>
    </row>
    <row r="48" spans="1:42" ht="21" customHeight="1">
      <c r="A48" s="1289" t="s">
        <v>253</v>
      </c>
      <c r="B48" s="1289" t="s">
        <v>254</v>
      </c>
      <c r="C48" s="1289" t="s">
        <v>255</v>
      </c>
      <c r="D48" s="1289" t="s">
        <v>2116</v>
      </c>
      <c r="E48" s="2043"/>
      <c r="F48" s="2043"/>
      <c r="G48" s="2043"/>
      <c r="H48" s="2043"/>
      <c r="I48" s="2045"/>
      <c r="J48" s="2044"/>
      <c r="K48" s="1289"/>
      <c r="L48" s="1290"/>
      <c r="P48" s="1961"/>
      <c r="Q48" s="1961"/>
      <c r="R48" s="277"/>
      <c r="S48" s="1208"/>
      <c r="T48" s="202" t="s">
        <v>1692</v>
      </c>
      <c r="U48" s="291"/>
      <c r="V48" s="291"/>
      <c r="W48" s="291"/>
      <c r="X48" s="291"/>
      <c r="Y48" s="291"/>
      <c r="Z48" s="291"/>
      <c r="AA48" s="291"/>
      <c r="AB48" s="291"/>
      <c r="AC48" s="291"/>
      <c r="AD48" s="291"/>
      <c r="AE48" s="291"/>
      <c r="AF48" s="291"/>
      <c r="AG48" s="291"/>
      <c r="AH48" s="291"/>
      <c r="AI48" s="291"/>
      <c r="AJ48" s="291"/>
      <c r="AK48" s="1187" t="s">
        <v>1693</v>
      </c>
      <c r="AM48" s="426"/>
      <c r="AN48" s="426" t="str">
        <f t="shared" si="1"/>
        <v>Добавить значение признака дифференциации</v>
      </c>
      <c r="AO48" s="426"/>
      <c r="AP48" s="426"/>
    </row>
    <row r="49" spans="1:42" ht="21" customHeight="1">
      <c r="A49" s="1289" t="s">
        <v>253</v>
      </c>
      <c r="B49" s="1289" t="s">
        <v>254</v>
      </c>
      <c r="C49" s="1289" t="s">
        <v>255</v>
      </c>
      <c r="D49" s="1289" t="s">
        <v>2116</v>
      </c>
      <c r="E49" s="2043"/>
      <c r="F49" s="2043"/>
      <c r="G49" s="2043"/>
      <c r="H49" s="2043"/>
      <c r="I49" s="2044"/>
      <c r="J49" s="1289"/>
      <c r="K49" s="1289"/>
      <c r="L49" s="1290"/>
      <c r="P49" s="1961"/>
      <c r="Q49" s="1401"/>
      <c r="R49" s="277"/>
      <c r="S49" s="1208"/>
      <c r="T49" s="288" t="s">
        <v>487</v>
      </c>
      <c r="U49" s="291"/>
      <c r="V49" s="291"/>
      <c r="W49" s="291"/>
      <c r="X49" s="291"/>
      <c r="Y49" s="291"/>
      <c r="Z49" s="291"/>
      <c r="AA49" s="291"/>
      <c r="AB49" s="290"/>
      <c r="AC49" s="291"/>
      <c r="AD49" s="291"/>
      <c r="AE49" s="291"/>
      <c r="AF49" s="291"/>
      <c r="AG49" s="291"/>
      <c r="AH49" s="291"/>
      <c r="AI49" s="290"/>
      <c r="AJ49" s="291"/>
      <c r="AK49" s="1365"/>
      <c r="AM49" s="426"/>
      <c r="AN49" s="426" t="str">
        <f t="shared" si="1"/>
        <v>Добавить группу потребителей</v>
      </c>
      <c r="AO49" s="426"/>
      <c r="AP49" s="426"/>
    </row>
    <row r="50" spans="1:42" ht="21" customHeight="1">
      <c r="A50" s="1289" t="s">
        <v>253</v>
      </c>
      <c r="B50" s="1289" t="s">
        <v>254</v>
      </c>
      <c r="C50" s="1289" t="s">
        <v>255</v>
      </c>
      <c r="D50" s="1289" t="s">
        <v>2116</v>
      </c>
      <c r="E50" s="2043"/>
      <c r="F50" s="2043"/>
      <c r="G50" s="2043"/>
      <c r="H50" s="2042"/>
      <c r="I50" s="1289"/>
      <c r="J50" s="1289"/>
      <c r="K50" s="1289"/>
      <c r="L50" s="1290"/>
      <c r="M50" s="1291"/>
      <c r="N50" s="1291"/>
      <c r="O50" s="462"/>
      <c r="P50" s="281"/>
      <c r="Q50" s="299"/>
      <c r="R50" s="276"/>
      <c r="S50" s="1208"/>
      <c r="T50" s="296" t="s">
        <v>1694</v>
      </c>
      <c r="U50" s="291"/>
      <c r="V50" s="291"/>
      <c r="W50" s="291"/>
      <c r="X50" s="291"/>
      <c r="Y50" s="291"/>
      <c r="Z50" s="291"/>
      <c r="AA50" s="291"/>
      <c r="AB50" s="290"/>
      <c r="AC50" s="291"/>
      <c r="AD50" s="291"/>
      <c r="AE50" s="291"/>
      <c r="AF50" s="291"/>
      <c r="AG50" s="291"/>
      <c r="AH50" s="291"/>
      <c r="AI50" s="290"/>
      <c r="AJ50" s="291"/>
      <c r="AK50" s="217"/>
      <c r="AM50" s="426"/>
      <c r="AN50" s="426" t="str">
        <f t="shared" si="1"/>
        <v>Добавить наименование признака дифференциации</v>
      </c>
      <c r="AO50" s="426"/>
      <c r="AP50" s="426"/>
    </row>
    <row r="51" spans="1:42" s="1567" customFormat="1" ht="0" hidden="1" customHeight="1">
      <c r="A51" s="1270" t="s">
        <v>253</v>
      </c>
      <c r="B51" s="1270" t="s">
        <v>254</v>
      </c>
      <c r="C51" s="1242"/>
      <c r="D51" s="1242"/>
      <c r="E51" s="2043"/>
      <c r="F51" s="2042"/>
      <c r="G51" s="1242"/>
      <c r="H51" s="1242"/>
      <c r="I51" s="1242"/>
      <c r="J51" s="1242"/>
      <c r="K51" s="1242"/>
      <c r="L51" s="1414"/>
      <c r="M51" s="1249"/>
      <c r="N51" s="1249"/>
      <c r="P51" s="1244"/>
      <c r="Q51" s="1245"/>
      <c r="R51" s="1244"/>
      <c r="S51" s="1250"/>
      <c r="T51" s="1253" t="s">
        <v>446</v>
      </c>
      <c r="U51" s="1252"/>
      <c r="V51" s="1252"/>
      <c r="W51" s="1252"/>
      <c r="X51" s="1252"/>
      <c r="Y51" s="1252"/>
      <c r="Z51" s="1252"/>
      <c r="AA51" s="1252"/>
      <c r="AB51" s="1252"/>
      <c r="AC51" s="1252"/>
      <c r="AD51" s="1252"/>
      <c r="AE51" s="1252"/>
      <c r="AF51" s="1252"/>
      <c r="AG51" s="1252"/>
      <c r="AH51" s="1252"/>
      <c r="AI51" s="1252"/>
      <c r="AJ51" s="1252"/>
      <c r="AK51" s="1252"/>
      <c r="AM51" s="707"/>
      <c r="AN51" s="707" t="str">
        <f t="shared" si="1"/>
        <v>Добавить централизованную систему для дифференциации</v>
      </c>
      <c r="AO51" s="707"/>
      <c r="AP51" s="707"/>
    </row>
    <row r="52" spans="1:42" s="1567" customFormat="1" ht="0" hidden="1" customHeight="1">
      <c r="A52" s="1270" t="s">
        <v>253</v>
      </c>
      <c r="B52" s="1270"/>
      <c r="C52" s="1270"/>
      <c r="D52" s="1270"/>
      <c r="E52" s="2042"/>
      <c r="F52" s="1270"/>
      <c r="G52" s="1270"/>
      <c r="H52" s="1270"/>
      <c r="I52" s="1270"/>
      <c r="J52" s="1270"/>
      <c r="K52" s="1270"/>
      <c r="L52" s="1273"/>
      <c r="M52" s="1249"/>
      <c r="N52" s="1249"/>
      <c r="O52" s="444"/>
      <c r="P52" s="308"/>
      <c r="Q52" s="1271"/>
      <c r="R52" s="308"/>
      <c r="S52" s="1250"/>
      <c r="T52" s="1253" t="s">
        <v>447</v>
      </c>
      <c r="U52" s="1252"/>
      <c r="V52" s="1252"/>
      <c r="W52" s="1252"/>
      <c r="X52" s="1252"/>
      <c r="Y52" s="1252"/>
      <c r="Z52" s="1252"/>
      <c r="AA52" s="1252"/>
      <c r="AB52" s="1252"/>
      <c r="AC52" s="1252"/>
      <c r="AD52" s="1252"/>
      <c r="AE52" s="1252"/>
      <c r="AF52" s="1252"/>
      <c r="AG52" s="1252"/>
      <c r="AH52" s="1252"/>
      <c r="AI52" s="1252"/>
      <c r="AJ52" s="1252"/>
      <c r="AK52" s="1252"/>
      <c r="AM52" s="426"/>
      <c r="AN52" s="426" t="str">
        <f t="shared" si="1"/>
        <v>Добавить территорию для дифференциации</v>
      </c>
      <c r="AO52" s="426"/>
      <c r="AP52" s="426"/>
    </row>
    <row r="53" spans="1:42" s="1567" customFormat="1" ht="0" hidden="1" customHeight="1">
      <c r="A53" s="1242"/>
      <c r="B53" s="1242"/>
      <c r="C53" s="1242"/>
      <c r="D53" s="1242"/>
      <c r="E53" s="1270"/>
      <c r="F53" s="1242"/>
      <c r="G53" s="1242"/>
      <c r="H53" s="1242"/>
      <c r="I53" s="1242"/>
      <c r="J53" s="1242"/>
      <c r="K53" s="1242"/>
      <c r="L53" s="1414"/>
      <c r="M53" s="1249"/>
      <c r="N53" s="1249"/>
      <c r="P53" s="1244"/>
      <c r="Q53" s="1245"/>
      <c r="R53" s="1244"/>
      <c r="S53" s="1250"/>
      <c r="T53" s="1253" t="s">
        <v>448</v>
      </c>
      <c r="U53" s="1252"/>
      <c r="V53" s="1252"/>
      <c r="W53" s="1252"/>
      <c r="X53" s="1252"/>
      <c r="Y53" s="1252"/>
      <c r="Z53" s="1252"/>
      <c r="AA53" s="1252"/>
      <c r="AB53" s="1252"/>
      <c r="AC53" s="1252"/>
      <c r="AD53" s="1252"/>
      <c r="AE53" s="1252"/>
      <c r="AF53" s="1252"/>
      <c r="AG53" s="1252"/>
      <c r="AH53" s="1252"/>
      <c r="AI53" s="1252"/>
      <c r="AJ53" s="1252"/>
      <c r="AK53" s="1252"/>
      <c r="AM53" s="707"/>
      <c r="AN53" s="707" t="str">
        <f t="shared" si="1"/>
        <v>Добавить наименование тарифа</v>
      </c>
      <c r="AO53" s="707"/>
      <c r="AP53" s="707"/>
    </row>
    <row r="54" spans="1:42" ht="11.25" hidden="1" customHeight="1">
      <c r="M54" s="1070"/>
      <c r="N54" s="1070"/>
      <c r="O54" s="462"/>
      <c r="P54" s="1065"/>
      <c r="Q54" s="1065"/>
      <c r="R54" s="1065"/>
      <c r="S54" s="1065"/>
      <c r="AL54" s="1065"/>
      <c r="AM54" s="1065"/>
      <c r="AN54" s="1065"/>
      <c r="AO54" s="1065"/>
      <c r="AP54" s="1065"/>
    </row>
    <row r="55" spans="1:42" ht="14.25" hidden="1" customHeight="1">
      <c r="O55" s="462"/>
      <c r="S55" s="1174" t="s">
        <v>520</v>
      </c>
      <c r="T55" s="2041" t="s">
        <v>2114</v>
      </c>
      <c r="U55" s="2041"/>
      <c r="V55" s="2041"/>
      <c r="W55" s="2041"/>
      <c r="X55" s="2041"/>
      <c r="Y55" s="2041"/>
      <c r="Z55" s="2041"/>
      <c r="AA55" s="2041"/>
      <c r="AB55" s="2041"/>
      <c r="AC55" s="2041"/>
      <c r="AD55" s="2041"/>
      <c r="AE55" s="2041"/>
      <c r="AF55" s="2041"/>
      <c r="AG55" s="2041"/>
      <c r="AH55" s="2041"/>
      <c r="AI55" s="2041"/>
      <c r="AJ55" s="2041"/>
      <c r="AK55" s="2041"/>
    </row>
    <row r="56" spans="1:42" ht="14.25" hidden="1" customHeight="1">
      <c r="O56" s="462"/>
    </row>
    <row r="57" spans="1:42" ht="14.25" hidden="1" customHeight="1">
      <c r="O57" s="462"/>
      <c r="S57" s="1174" t="s">
        <v>520</v>
      </c>
      <c r="T57" s="2041" t="s">
        <v>2115</v>
      </c>
      <c r="U57" s="2041"/>
      <c r="V57" s="2041"/>
      <c r="W57" s="2041"/>
      <c r="X57" s="2041"/>
      <c r="Y57" s="2041"/>
      <c r="Z57" s="2041"/>
      <c r="AA57" s="2041"/>
      <c r="AB57" s="2041"/>
      <c r="AC57" s="2041"/>
      <c r="AD57" s="2041"/>
      <c r="AE57" s="2041"/>
      <c r="AF57" s="2041"/>
      <c r="AG57" s="2041"/>
      <c r="AH57" s="2041"/>
      <c r="AI57" s="2041"/>
      <c r="AJ57" s="2041"/>
      <c r="AK57" s="2041"/>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1793" hidden="1" customWidth="1"/>
    <col min="13" max="14" width="12.296875" style="1704" hidden="1" customWidth="1"/>
    <col min="15" max="15" width="23.3984375" style="1704" hidden="1" customWidth="1"/>
    <col min="16" max="16" width="3.69921875" style="1704" hidden="1" customWidth="1"/>
    <col min="17" max="17" width="3.69921875" style="1297" hidden="1" customWidth="1"/>
    <col min="18" max="18" width="3.69921875" style="265" customWidth="1"/>
    <col min="19" max="19" width="12.69921875" style="1795" customWidth="1"/>
    <col min="20" max="20" width="32"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2" width="3.69921875" style="1560" customWidth="1"/>
    <col min="33" max="33" width="24.69921875" style="1560" customWidth="1"/>
    <col min="34" max="36" width="3.69921875" style="1560" customWidth="1"/>
    <col min="37" max="37" width="24.69921875" style="1560" customWidth="1"/>
    <col min="38" max="40" width="3.69921875" style="1560" customWidth="1"/>
    <col min="41" max="41" width="18.796875" style="1560" customWidth="1"/>
    <col min="42" max="44" width="3.69921875" style="1560" customWidth="1"/>
    <col min="45" max="45" width="18.796875" style="1560" customWidth="1"/>
    <col min="46" max="49" width="21.69921875" style="1560" customWidth="1"/>
    <col min="50" max="50" width="11.69921875" style="1560" customWidth="1"/>
    <col min="51" max="51" width="3.69921875" style="1560" customWidth="1"/>
    <col min="52" max="52" width="11.69921875" style="1560" customWidth="1"/>
    <col min="53" max="53" width="8.59765625" style="1560" hidden="1" customWidth="1"/>
    <col min="54" max="54" width="4.69921875" style="1560" customWidth="1"/>
    <col min="55" max="55" width="115.69921875" style="1560" customWidth="1"/>
    <col min="56" max="57" width="10.59765625" style="1567"/>
    <col min="58" max="58" width="11.09765625" style="1567" customWidth="1"/>
    <col min="59" max="60" width="10.59765625" style="1567"/>
  </cols>
  <sheetData>
    <row r="1" spans="1:60" ht="14.25" hidden="1" customHeight="1">
      <c r="W1" s="249"/>
      <c r="Y1" s="249"/>
      <c r="Z1" s="249"/>
      <c r="AW1" s="249"/>
      <c r="AX1" s="249"/>
    </row>
    <row r="2" spans="1:60" ht="21" hidden="1" customHeight="1">
      <c r="A2" s="1289"/>
      <c r="B2" s="1289"/>
      <c r="C2" s="1289"/>
      <c r="D2" s="1289"/>
      <c r="E2" s="2042">
        <v>1</v>
      </c>
      <c r="F2" s="1289"/>
      <c r="G2" s="1289"/>
      <c r="H2" s="1289"/>
      <c r="I2" s="1289"/>
      <c r="J2" s="1289"/>
      <c r="K2" s="1289"/>
      <c r="L2" s="1290"/>
      <c r="M2" s="1291"/>
      <c r="N2" s="1291"/>
      <c r="O2" s="1291"/>
      <c r="P2" s="1335"/>
      <c r="Q2" s="790"/>
      <c r="R2" s="276"/>
      <c r="S2" s="1413" t="e">
        <f>INDEX(PT_DIFFERENTIATION_NUM_NTAR,MATCH(A2,PT_DIFFERENTIATION_NTAR_ID,0))</f>
        <v>#N/A</v>
      </c>
      <c r="T2" s="212" t="s">
        <v>119</v>
      </c>
      <c r="U2" s="214"/>
      <c r="V2" s="2037"/>
      <c r="W2" s="2037"/>
      <c r="X2" s="2037"/>
      <c r="Y2" s="2037"/>
      <c r="Z2" s="2037"/>
      <c r="AA2" s="2037"/>
      <c r="AB2" s="2037"/>
      <c r="AC2" s="2038"/>
      <c r="AD2" s="2036" t="e">
        <f>INDEX(PT_DIFFERENTIATION_NTAR,MATCH(A2,PT_DIFFERENTIATION_NTAR_ID,0))</f>
        <v>#N/A</v>
      </c>
      <c r="AE2" s="2037"/>
      <c r="AF2" s="2037"/>
      <c r="AG2" s="2037"/>
      <c r="AH2" s="2037"/>
      <c r="AI2" s="2037"/>
      <c r="AJ2" s="2037"/>
      <c r="AK2" s="2037"/>
      <c r="AL2" s="2037"/>
      <c r="AM2" s="2037"/>
      <c r="AN2" s="2037"/>
      <c r="AO2" s="2037"/>
      <c r="AP2" s="2037"/>
      <c r="AQ2" s="2037"/>
      <c r="AR2" s="2037"/>
      <c r="AS2" s="2037"/>
      <c r="AT2" s="2037"/>
      <c r="AU2" s="2037"/>
      <c r="AV2" s="2037"/>
      <c r="AW2" s="2037"/>
      <c r="AX2" s="2037"/>
      <c r="AY2" s="2037"/>
      <c r="AZ2" s="2037"/>
      <c r="BA2" s="2037"/>
      <c r="BB2" s="2038"/>
      <c r="BC2"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6"/>
      <c r="BF2" s="426" t="str">
        <f t="shared" ref="BF2:BF8" si="0">IF(T2="","",T2)</f>
        <v>Наименование тарифа</v>
      </c>
      <c r="BG2" s="426"/>
      <c r="BH2" s="426"/>
    </row>
    <row r="3" spans="1:60" ht="21" hidden="1" customHeight="1">
      <c r="A3" s="1289"/>
      <c r="B3" s="1289"/>
      <c r="C3" s="1289"/>
      <c r="D3" s="1289"/>
      <c r="E3" s="2043"/>
      <c r="F3" s="2042">
        <v>1</v>
      </c>
      <c r="G3" s="1289"/>
      <c r="H3" s="1289"/>
      <c r="I3" s="1289"/>
      <c r="J3" s="1289"/>
      <c r="K3" s="1289"/>
      <c r="L3" s="1290"/>
      <c r="M3" s="1291"/>
      <c r="N3" s="1291"/>
      <c r="O3" s="1291"/>
      <c r="P3" s="1336"/>
      <c r="Q3" s="1337"/>
      <c r="R3" s="274"/>
      <c r="S3" s="1413" t="e">
        <f>INDEX(PT_DIFFERENTIATION_NUM_TER,MATCH(B3,PT_DIFFERENTIATION_TER_ID,0))</f>
        <v>#N/A</v>
      </c>
      <c r="T3" s="224" t="s">
        <v>472</v>
      </c>
      <c r="U3" s="214"/>
      <c r="V3" s="2037"/>
      <c r="W3" s="2037"/>
      <c r="X3" s="2037"/>
      <c r="Y3" s="2037"/>
      <c r="Z3" s="2037"/>
      <c r="AA3" s="2037"/>
      <c r="AB3" s="2037"/>
      <c r="AC3" s="2038"/>
      <c r="AD3" s="2036" t="e">
        <f>INDEX(PT_DIFFERENTIATION_TER,MATCH(B3,PT_DIFFERENTIATION_TER_ID,0))</f>
        <v>#N/A</v>
      </c>
      <c r="AE3" s="2037"/>
      <c r="AF3" s="2037"/>
      <c r="AG3" s="2037"/>
      <c r="AH3" s="2037"/>
      <c r="AI3" s="2037"/>
      <c r="AJ3" s="2037"/>
      <c r="AK3" s="2037"/>
      <c r="AL3" s="2037"/>
      <c r="AM3" s="2037"/>
      <c r="AN3" s="2037"/>
      <c r="AO3" s="2037"/>
      <c r="AP3" s="2037"/>
      <c r="AQ3" s="2037"/>
      <c r="AR3" s="2037"/>
      <c r="AS3" s="2037"/>
      <c r="AT3" s="2037"/>
      <c r="AU3" s="2037"/>
      <c r="AV3" s="2037"/>
      <c r="AW3" s="2037"/>
      <c r="AX3" s="2037"/>
      <c r="AY3" s="2037"/>
      <c r="AZ3" s="2037"/>
      <c r="BA3" s="2037"/>
      <c r="BB3" s="2038"/>
      <c r="BC3" s="1187" t="s">
        <v>473</v>
      </c>
      <c r="BE3" s="426"/>
      <c r="BF3" s="426" t="str">
        <f t="shared" si="0"/>
        <v>Территория действия тарифа</v>
      </c>
      <c r="BG3" s="426"/>
      <c r="BH3" s="426"/>
    </row>
    <row r="4" spans="1:60" ht="33.75" hidden="1" customHeight="1">
      <c r="A4" s="1289"/>
      <c r="B4" s="1289"/>
      <c r="C4" s="1289"/>
      <c r="D4" s="1289"/>
      <c r="E4" s="2043"/>
      <c r="F4" s="2043"/>
      <c r="G4" s="2042">
        <v>1</v>
      </c>
      <c r="H4" s="1289"/>
      <c r="I4" s="1289"/>
      <c r="J4" s="1289"/>
      <c r="K4" s="1289"/>
      <c r="L4" s="1290"/>
      <c r="M4" s="1291"/>
      <c r="N4" s="1291"/>
      <c r="O4" s="1291"/>
      <c r="P4" s="1338"/>
      <c r="Q4" s="1337"/>
      <c r="R4" s="274"/>
      <c r="S4" s="1413" t="e">
        <f>INDEX(PT_DIFFERENTIATION_NUM_CS,MATCH(C4,PT_DIFFERENTIATION_CS_ID,0))</f>
        <v>#N/A</v>
      </c>
      <c r="T4" s="225" t="s">
        <v>2109</v>
      </c>
      <c r="U4" s="214"/>
      <c r="V4" s="2037"/>
      <c r="W4" s="2037"/>
      <c r="X4" s="2037"/>
      <c r="Y4" s="2037"/>
      <c r="Z4" s="2037"/>
      <c r="AA4" s="2037"/>
      <c r="AB4" s="2037"/>
      <c r="AC4" s="2038"/>
      <c r="AD4" s="2036" t="e">
        <f>INDEX(PT_DIFFERENTIATION_CS,MATCH(C4,PT_DIFFERENTIATION_CS_ID,0))</f>
        <v>#N/A</v>
      </c>
      <c r="AE4" s="2037"/>
      <c r="AF4" s="2037"/>
      <c r="AG4" s="2037"/>
      <c r="AH4" s="2037"/>
      <c r="AI4" s="2037"/>
      <c r="AJ4" s="2037"/>
      <c r="AK4" s="2037"/>
      <c r="AL4" s="2037"/>
      <c r="AM4" s="2037"/>
      <c r="AN4" s="2037"/>
      <c r="AO4" s="2037"/>
      <c r="AP4" s="2037"/>
      <c r="AQ4" s="2037"/>
      <c r="AR4" s="2037"/>
      <c r="AS4" s="2037"/>
      <c r="AT4" s="2037"/>
      <c r="AU4" s="2037"/>
      <c r="AV4" s="2037"/>
      <c r="AW4" s="2037"/>
      <c r="AX4" s="2037"/>
      <c r="AY4" s="2037"/>
      <c r="AZ4" s="2037"/>
      <c r="BA4" s="2037"/>
      <c r="BB4" s="2038"/>
      <c r="BC4" s="1187" t="s">
        <v>2110</v>
      </c>
      <c r="BE4" s="426"/>
      <c r="BF4" s="426" t="str">
        <f t="shared" si="0"/>
        <v>Наименование централизованной системы водоотведения</v>
      </c>
      <c r="BG4" s="426"/>
      <c r="BH4" s="426"/>
    </row>
    <row r="5" spans="1:60" s="1567" customFormat="1" ht="14.25" hidden="1" customHeight="1">
      <c r="A5" s="1270"/>
      <c r="B5" s="1270"/>
      <c r="C5" s="1270"/>
      <c r="D5" s="1270"/>
      <c r="E5" s="2043"/>
      <c r="F5" s="2043"/>
      <c r="G5" s="2043"/>
      <c r="H5" s="2042">
        <v>1</v>
      </c>
      <c r="I5" s="1270"/>
      <c r="J5" s="1270"/>
      <c r="K5" s="1270"/>
      <c r="L5" s="1273"/>
      <c r="M5" s="1243"/>
      <c r="N5" s="1243"/>
      <c r="O5" s="1243"/>
      <c r="P5" s="1417"/>
      <c r="Q5" s="1418"/>
      <c r="R5" s="278"/>
      <c r="S5" s="958"/>
      <c r="T5" s="1419"/>
      <c r="U5" s="1310"/>
      <c r="V5" s="2072"/>
      <c r="W5" s="2072"/>
      <c r="X5" s="2072"/>
      <c r="Y5" s="2072"/>
      <c r="Z5" s="2072"/>
      <c r="AA5" s="2072"/>
      <c r="AB5" s="2072"/>
      <c r="AC5" s="2073"/>
      <c r="AD5" s="2071"/>
      <c r="AE5" s="2072"/>
      <c r="AF5" s="2072"/>
      <c r="AG5" s="2072"/>
      <c r="AH5" s="2072"/>
      <c r="AI5" s="2072"/>
      <c r="AJ5" s="2072"/>
      <c r="AK5" s="2072"/>
      <c r="AL5" s="2072"/>
      <c r="AM5" s="2072"/>
      <c r="AN5" s="2072"/>
      <c r="AO5" s="2072"/>
      <c r="AP5" s="2072"/>
      <c r="AQ5" s="2072"/>
      <c r="AR5" s="2072"/>
      <c r="AS5" s="2072"/>
      <c r="AT5" s="2072"/>
      <c r="AU5" s="2072"/>
      <c r="AV5" s="2072"/>
      <c r="AW5" s="2072"/>
      <c r="AX5" s="2072"/>
      <c r="AY5" s="2072"/>
      <c r="AZ5" s="2072"/>
      <c r="BA5" s="2072"/>
      <c r="BB5" s="2073"/>
      <c r="BC5" s="1311" t="s">
        <v>477</v>
      </c>
      <c r="BE5" s="426"/>
      <c r="BF5" s="426" t="str">
        <f t="shared" si="0"/>
        <v/>
      </c>
      <c r="BG5" s="426"/>
      <c r="BH5" s="426"/>
    </row>
    <row r="6" spans="1:60" s="1567" customFormat="1" ht="14.25" hidden="1" customHeight="1">
      <c r="A6" s="1270"/>
      <c r="B6" s="1270"/>
      <c r="C6" s="1270"/>
      <c r="D6" s="1270"/>
      <c r="E6" s="2043"/>
      <c r="F6" s="2043"/>
      <c r="G6" s="2043"/>
      <c r="H6" s="2043"/>
      <c r="I6" s="2044" t="str">
        <f>S5&amp;".1"</f>
        <v>.1</v>
      </c>
      <c r="J6" s="1270"/>
      <c r="K6" s="1270"/>
      <c r="L6" s="1273" t="s">
        <v>478</v>
      </c>
      <c r="M6" s="436"/>
      <c r="N6" s="436"/>
      <c r="O6" s="436"/>
      <c r="P6" s="1961">
        <v>1</v>
      </c>
      <c r="Q6" s="1401"/>
      <c r="R6" s="277"/>
      <c r="S6" s="958"/>
      <c r="T6" s="1309"/>
      <c r="U6" s="1310"/>
      <c r="V6" s="2072"/>
      <c r="W6" s="2072"/>
      <c r="X6" s="2072"/>
      <c r="Y6" s="2072"/>
      <c r="Z6" s="2072"/>
      <c r="AA6" s="2072"/>
      <c r="AB6" s="2072"/>
      <c r="AC6" s="2073"/>
      <c r="AD6" s="2071"/>
      <c r="AE6" s="2072"/>
      <c r="AF6" s="2072"/>
      <c r="AG6" s="2072"/>
      <c r="AH6" s="2072"/>
      <c r="AI6" s="2072"/>
      <c r="AJ6" s="2072"/>
      <c r="AK6" s="2072"/>
      <c r="AL6" s="2072"/>
      <c r="AM6" s="2072"/>
      <c r="AN6" s="2072"/>
      <c r="AO6" s="2072"/>
      <c r="AP6" s="2072"/>
      <c r="AQ6" s="2072"/>
      <c r="AR6" s="2072"/>
      <c r="AS6" s="2072"/>
      <c r="AT6" s="2072"/>
      <c r="AU6" s="2072"/>
      <c r="AV6" s="2072"/>
      <c r="AW6" s="2072"/>
      <c r="AX6" s="2072"/>
      <c r="AY6" s="2072"/>
      <c r="AZ6" s="2072"/>
      <c r="BA6" s="2072"/>
      <c r="BB6" s="2073"/>
      <c r="BC6" s="1311"/>
      <c r="BE6" s="426"/>
      <c r="BF6" s="426" t="str">
        <f t="shared" si="0"/>
        <v/>
      </c>
      <c r="BG6" s="426"/>
      <c r="BH6" s="426"/>
    </row>
    <row r="7" spans="1:60" s="1567" customFormat="1" ht="14.25" hidden="1" customHeight="1">
      <c r="A7" s="1270"/>
      <c r="B7" s="1270"/>
      <c r="C7" s="1270"/>
      <c r="D7" s="1270"/>
      <c r="E7" s="2043"/>
      <c r="F7" s="2043"/>
      <c r="G7" s="2043"/>
      <c r="H7" s="2043"/>
      <c r="I7" s="2045"/>
      <c r="J7" s="2044" t="str">
        <f>S5&amp;".1"</f>
        <v>.1</v>
      </c>
      <c r="K7" s="1270"/>
      <c r="L7" s="1273"/>
      <c r="M7" s="436"/>
      <c r="N7" s="436"/>
      <c r="O7" s="436"/>
      <c r="P7" s="1961"/>
      <c r="Q7" s="1961">
        <v>1</v>
      </c>
      <c r="R7" s="278"/>
      <c r="S7" s="958"/>
      <c r="T7" s="1325"/>
      <c r="U7" s="1310"/>
      <c r="V7" s="2072"/>
      <c r="W7" s="2072"/>
      <c r="X7" s="2072"/>
      <c r="Y7" s="2072"/>
      <c r="Z7" s="2072"/>
      <c r="AA7" s="2072"/>
      <c r="AB7" s="2072"/>
      <c r="AC7" s="2073"/>
      <c r="AD7" s="2071"/>
      <c r="AE7" s="2072"/>
      <c r="AF7" s="2072"/>
      <c r="AG7" s="2072"/>
      <c r="AH7" s="2072"/>
      <c r="AI7" s="2072"/>
      <c r="AJ7" s="2072"/>
      <c r="AK7" s="2072"/>
      <c r="AL7" s="2072"/>
      <c r="AM7" s="2072"/>
      <c r="AN7" s="2072"/>
      <c r="AO7" s="2072"/>
      <c r="AP7" s="2072"/>
      <c r="AQ7" s="2072"/>
      <c r="AR7" s="2072"/>
      <c r="AS7" s="2072"/>
      <c r="AT7" s="2072"/>
      <c r="AU7" s="2072"/>
      <c r="AV7" s="2072"/>
      <c r="AW7" s="2072"/>
      <c r="AX7" s="2072"/>
      <c r="AY7" s="2072"/>
      <c r="AZ7" s="2072"/>
      <c r="BA7" s="2072"/>
      <c r="BB7" s="2073"/>
      <c r="BC7" s="1311"/>
      <c r="BE7" s="426"/>
      <c r="BF7" s="426" t="str">
        <f t="shared" si="0"/>
        <v/>
      </c>
      <c r="BG7" s="426"/>
      <c r="BH7" s="426"/>
    </row>
    <row r="8" spans="1:60" ht="11.25" hidden="1" customHeight="1">
      <c r="A8" s="1289"/>
      <c r="B8" s="1289"/>
      <c r="C8" s="1289"/>
      <c r="D8" s="1289"/>
      <c r="E8" s="2043"/>
      <c r="F8" s="2043"/>
      <c r="G8" s="2043"/>
      <c r="H8" s="2043"/>
      <c r="I8" s="2045"/>
      <c r="J8" s="2045"/>
      <c r="K8" s="2044" t="e">
        <f>S4&amp;".1"</f>
        <v>#N/A</v>
      </c>
      <c r="L8" s="1290"/>
      <c r="P8" s="1961"/>
      <c r="Q8" s="1961"/>
      <c r="R8" s="2095">
        <v>1</v>
      </c>
      <c r="S8" s="2092" t="e">
        <f>$K8</f>
        <v>#N/A</v>
      </c>
      <c r="T8" s="2151"/>
      <c r="U8" s="214"/>
      <c r="V8" s="669"/>
      <c r="W8" s="1186"/>
      <c r="X8" s="669"/>
      <c r="Y8" s="1186"/>
      <c r="Z8" s="1658"/>
      <c r="AA8" s="1390" t="s">
        <v>58</v>
      </c>
      <c r="AB8" s="1658"/>
      <c r="AC8" s="1390" t="s">
        <v>58</v>
      </c>
      <c r="AD8" s="1907" t="s">
        <v>58</v>
      </c>
      <c r="AE8" s="2088"/>
      <c r="AF8" s="1920">
        <v>1</v>
      </c>
      <c r="AG8" s="2150"/>
      <c r="AH8" s="1850" t="s">
        <v>58</v>
      </c>
      <c r="AI8" s="2088"/>
      <c r="AJ8" s="1920">
        <v>1</v>
      </c>
      <c r="AK8" s="2149" t="s">
        <v>18</v>
      </c>
      <c r="AL8" s="1850" t="s">
        <v>58</v>
      </c>
      <c r="AM8" s="1895"/>
      <c r="AN8" s="1920">
        <v>1</v>
      </c>
      <c r="AO8" s="2154"/>
      <c r="AP8" s="2155" t="s">
        <v>58</v>
      </c>
      <c r="AQ8" s="227"/>
      <c r="AR8" s="1406">
        <v>1</v>
      </c>
      <c r="AS8" s="1412" t="s">
        <v>18</v>
      </c>
      <c r="AT8" s="669"/>
      <c r="AU8" s="1186"/>
      <c r="AV8" s="669"/>
      <c r="AW8" s="1186"/>
      <c r="AX8" s="1658"/>
      <c r="AY8" s="1390" t="s">
        <v>58</v>
      </c>
      <c r="AZ8" s="1658"/>
      <c r="BA8" s="1390" t="s">
        <v>58</v>
      </c>
      <c r="BB8" s="1275"/>
      <c r="BC8" s="2064" t="s">
        <v>1707</v>
      </c>
      <c r="BE8" s="426"/>
      <c r="BF8" s="426" t="str">
        <f t="shared" si="0"/>
        <v/>
      </c>
      <c r="BG8" s="426"/>
      <c r="BH8" s="426"/>
    </row>
    <row r="9" spans="1:60" ht="11.25" hidden="1" customHeight="1">
      <c r="A9" s="1289"/>
      <c r="B9" s="1289"/>
      <c r="C9" s="1289"/>
      <c r="D9" s="1289"/>
      <c r="E9" s="2043"/>
      <c r="F9" s="2043"/>
      <c r="G9" s="2043"/>
      <c r="H9" s="2043"/>
      <c r="I9" s="2045"/>
      <c r="J9" s="2045"/>
      <c r="K9" s="2044"/>
      <c r="L9" s="1290"/>
      <c r="P9" s="1961"/>
      <c r="Q9" s="1961"/>
      <c r="R9" s="2095"/>
      <c r="S9" s="2093"/>
      <c r="T9" s="2152"/>
      <c r="U9" s="214"/>
      <c r="V9" s="1319"/>
      <c r="W9" s="1416"/>
      <c r="X9" s="1319"/>
      <c r="Y9" s="1416"/>
      <c r="Z9" s="1319"/>
      <c r="AA9" s="1319"/>
      <c r="AB9" s="1319"/>
      <c r="AC9" s="1319"/>
      <c r="AD9" s="1908"/>
      <c r="AE9" s="2088"/>
      <c r="AF9" s="1920"/>
      <c r="AG9" s="2150"/>
      <c r="AH9" s="1850"/>
      <c r="AI9" s="2088"/>
      <c r="AJ9" s="1920"/>
      <c r="AK9" s="2149"/>
      <c r="AL9" s="1850"/>
      <c r="AM9" s="1900"/>
      <c r="AN9" s="1920"/>
      <c r="AO9" s="2154"/>
      <c r="AP9" s="2156"/>
      <c r="AQ9" s="234"/>
      <c r="AR9" s="346"/>
      <c r="AS9" s="346" t="s">
        <v>1708</v>
      </c>
      <c r="AT9" s="1319"/>
      <c r="AU9" s="1416"/>
      <c r="AV9" s="1319"/>
      <c r="AW9" s="1416"/>
      <c r="AX9" s="1319"/>
      <c r="AY9" s="1319"/>
      <c r="AZ9" s="1319"/>
      <c r="BA9" s="1319"/>
      <c r="BB9" s="1323"/>
      <c r="BC9" s="2065"/>
      <c r="BE9" s="426"/>
      <c r="BF9" s="426"/>
      <c r="BG9" s="426"/>
      <c r="BH9" s="426"/>
    </row>
    <row r="10" spans="1:60" ht="11.25" hidden="1" customHeight="1">
      <c r="A10" s="1289"/>
      <c r="B10" s="1289"/>
      <c r="C10" s="1289"/>
      <c r="D10" s="1289"/>
      <c r="E10" s="2043"/>
      <c r="F10" s="2043"/>
      <c r="G10" s="2043"/>
      <c r="H10" s="2043"/>
      <c r="I10" s="2045"/>
      <c r="J10" s="2045"/>
      <c r="K10" s="2044"/>
      <c r="L10" s="1290"/>
      <c r="P10" s="1961"/>
      <c r="Q10" s="1961"/>
      <c r="R10" s="2095"/>
      <c r="S10" s="2093"/>
      <c r="T10" s="2152"/>
      <c r="U10" s="214"/>
      <c r="V10" s="1319"/>
      <c r="W10" s="1416"/>
      <c r="X10" s="1319"/>
      <c r="Y10" s="1416"/>
      <c r="Z10" s="1319"/>
      <c r="AA10" s="1319"/>
      <c r="AB10" s="1319"/>
      <c r="AC10" s="1319"/>
      <c r="AD10" s="1908"/>
      <c r="AE10" s="2088"/>
      <c r="AF10" s="1920"/>
      <c r="AG10" s="2150"/>
      <c r="AH10" s="1850"/>
      <c r="AI10" s="2088"/>
      <c r="AJ10" s="1920"/>
      <c r="AK10" s="2149"/>
      <c r="AL10" s="1850"/>
      <c r="AM10" s="234"/>
      <c r="AN10" s="1420"/>
      <c r="AO10" s="1420" t="s">
        <v>2117</v>
      </c>
      <c r="AP10" s="346"/>
      <c r="AQ10" s="346"/>
      <c r="AR10" s="346"/>
      <c r="AS10" s="1319"/>
      <c r="AT10" s="1319"/>
      <c r="AU10" s="1416"/>
      <c r="AV10" s="1319"/>
      <c r="AW10" s="1416"/>
      <c r="AX10" s="1319"/>
      <c r="AY10" s="1319"/>
      <c r="AZ10" s="1319"/>
      <c r="BA10" s="1319"/>
      <c r="BB10" s="1323"/>
      <c r="BC10" s="2065"/>
      <c r="BE10" s="426"/>
      <c r="BF10" s="426"/>
      <c r="BG10" s="426"/>
      <c r="BH10" s="426"/>
    </row>
    <row r="11" spans="1:60" ht="11.25" hidden="1" customHeight="1">
      <c r="A11" s="1289"/>
      <c r="B11" s="1289"/>
      <c r="C11" s="1289"/>
      <c r="D11" s="1289"/>
      <c r="E11" s="2043"/>
      <c r="F11" s="2043"/>
      <c r="G11" s="2043"/>
      <c r="H11" s="2043"/>
      <c r="I11" s="2045"/>
      <c r="J11" s="2045"/>
      <c r="K11" s="2044"/>
      <c r="L11" s="1290"/>
      <c r="P11" s="1961"/>
      <c r="Q11" s="1961"/>
      <c r="R11" s="2095"/>
      <c r="S11" s="2093"/>
      <c r="T11" s="2152"/>
      <c r="U11" s="214"/>
      <c r="V11" s="1319"/>
      <c r="W11" s="1416"/>
      <c r="X11" s="1319"/>
      <c r="Y11" s="1416"/>
      <c r="Z11" s="1319"/>
      <c r="AA11" s="1319"/>
      <c r="AB11" s="1319"/>
      <c r="AC11" s="1319"/>
      <c r="AD11" s="1908"/>
      <c r="AE11" s="2088"/>
      <c r="AF11" s="1920"/>
      <c r="AG11" s="2150"/>
      <c r="AH11" s="1850"/>
      <c r="AI11" s="208"/>
      <c r="AJ11" s="345"/>
      <c r="AK11" s="229" t="s">
        <v>2118</v>
      </c>
      <c r="AL11" s="1319"/>
      <c r="AM11" s="1319"/>
      <c r="AN11" s="1319"/>
      <c r="AO11" s="1319"/>
      <c r="AP11" s="1319"/>
      <c r="AQ11" s="1319"/>
      <c r="AR11" s="1319"/>
      <c r="AS11" s="1319"/>
      <c r="AT11" s="1319"/>
      <c r="AU11" s="1416"/>
      <c r="AV11" s="1319"/>
      <c r="AW11" s="1416"/>
      <c r="AX11" s="1319"/>
      <c r="AY11" s="1319"/>
      <c r="AZ11" s="1319"/>
      <c r="BA11" s="1319"/>
      <c r="BB11" s="1323"/>
      <c r="BC11" s="2065"/>
      <c r="BE11" s="426"/>
      <c r="BF11" s="426"/>
      <c r="BG11" s="426"/>
      <c r="BH11" s="426"/>
    </row>
    <row r="12" spans="1:60" ht="11.25" hidden="1" customHeight="1">
      <c r="A12" s="1289"/>
      <c r="B12" s="1289"/>
      <c r="C12" s="1289"/>
      <c r="D12" s="1289"/>
      <c r="E12" s="2043"/>
      <c r="F12" s="2043"/>
      <c r="G12" s="2043"/>
      <c r="H12" s="2043"/>
      <c r="I12" s="2045"/>
      <c r="J12" s="2045"/>
      <c r="K12" s="2044"/>
      <c r="L12" s="1290"/>
      <c r="P12" s="1961"/>
      <c r="Q12" s="1961"/>
      <c r="R12" s="2095"/>
      <c r="S12" s="2094"/>
      <c r="T12" s="2153"/>
      <c r="U12" s="214"/>
      <c r="V12" s="1319"/>
      <c r="W12" s="1320" t="str">
        <f>Z8&amp;"-"&amp;AB8</f>
        <v>-</v>
      </c>
      <c r="X12" s="1319"/>
      <c r="Y12" s="1320" t="str">
        <f>AB8&amp;"-"&amp;AD8</f>
        <v>-да</v>
      </c>
      <c r="Z12" s="1319"/>
      <c r="AA12" s="1319"/>
      <c r="AB12" s="1319"/>
      <c r="AC12" s="1319"/>
      <c r="AD12" s="1855"/>
      <c r="AE12" s="228"/>
      <c r="AF12" s="230"/>
      <c r="AG12" s="346" t="s">
        <v>1711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065"/>
      <c r="BE12" s="426"/>
      <c r="BF12" s="426" t="str">
        <f t="shared" ref="BF12:BF18" si="1">IF(T12="","",T12)</f>
        <v/>
      </c>
      <c r="BG12" s="426"/>
      <c r="BH12" s="426"/>
    </row>
    <row r="13" spans="1:60" ht="11.25" hidden="1" customHeight="1">
      <c r="A13" s="1289"/>
      <c r="B13" s="1289"/>
      <c r="C13" s="1289"/>
      <c r="D13" s="1289"/>
      <c r="E13" s="2043"/>
      <c r="F13" s="2043"/>
      <c r="G13" s="2043"/>
      <c r="H13" s="2043"/>
      <c r="I13" s="2045"/>
      <c r="J13" s="2044"/>
      <c r="K13" s="1289"/>
      <c r="L13" s="1290"/>
      <c r="P13" s="1961"/>
      <c r="Q13" s="1961"/>
      <c r="R13" s="277"/>
      <c r="S13" s="1208"/>
      <c r="T13" s="202" t="s">
        <v>552</v>
      </c>
      <c r="U13" s="291"/>
      <c r="V13" s="291"/>
      <c r="W13" s="291"/>
      <c r="X13" s="291"/>
      <c r="Y13" s="291"/>
      <c r="Z13" s="291"/>
      <c r="AA13" s="291"/>
      <c r="AB13" s="291"/>
      <c r="AC13" s="291"/>
      <c r="AD13" s="1425"/>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2066"/>
      <c r="BE13" s="426"/>
      <c r="BF13" s="426" t="str">
        <f t="shared" si="1"/>
        <v>Добавить строку</v>
      </c>
      <c r="BG13" s="426"/>
      <c r="BH13" s="426"/>
    </row>
    <row r="14" spans="1:60" s="1567" customFormat="1" ht="14.25" hidden="1" customHeight="1">
      <c r="A14" s="1270"/>
      <c r="B14" s="1270"/>
      <c r="C14" s="1270"/>
      <c r="D14" s="1270"/>
      <c r="E14" s="2043"/>
      <c r="F14" s="2043"/>
      <c r="G14" s="2043"/>
      <c r="H14" s="2043"/>
      <c r="I14" s="2044"/>
      <c r="J14" s="1270"/>
      <c r="K14" s="1270"/>
      <c r="L14" s="1273"/>
      <c r="M14" s="436"/>
      <c r="N14" s="436"/>
      <c r="O14" s="436"/>
      <c r="P14" s="1961"/>
      <c r="Q14" s="1401"/>
      <c r="R14" s="27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26"/>
      <c r="BF14" s="426" t="str">
        <f t="shared" si="1"/>
        <v/>
      </c>
      <c r="BG14" s="426"/>
      <c r="BH14" s="426"/>
    </row>
    <row r="15" spans="1:60" s="1567" customFormat="1" ht="14.25" hidden="1" customHeight="1">
      <c r="A15" s="1270"/>
      <c r="B15" s="1270"/>
      <c r="C15" s="1270"/>
      <c r="D15" s="1270"/>
      <c r="E15" s="2043"/>
      <c r="F15" s="2043"/>
      <c r="G15" s="2043"/>
      <c r="H15" s="2042"/>
      <c r="I15" s="1270"/>
      <c r="J15" s="1270"/>
      <c r="K15" s="1270"/>
      <c r="L15" s="1273"/>
      <c r="M15" s="1243"/>
      <c r="N15" s="1243"/>
      <c r="O15" s="444"/>
      <c r="P15" s="308"/>
      <c r="Q15" s="1271"/>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26"/>
      <c r="BF15" s="426" t="str">
        <f t="shared" si="1"/>
        <v/>
      </c>
      <c r="BG15" s="426"/>
      <c r="BH15" s="426"/>
    </row>
    <row r="16" spans="1:60" s="1567" customFormat="1" ht="14.25" hidden="1" customHeight="1">
      <c r="A16" s="1270"/>
      <c r="B16" s="1270"/>
      <c r="C16" s="1270"/>
      <c r="D16" s="1242"/>
      <c r="E16" s="2043"/>
      <c r="F16" s="2043"/>
      <c r="G16" s="2042"/>
      <c r="H16" s="1242"/>
      <c r="I16" s="1242"/>
      <c r="J16" s="1242"/>
      <c r="K16" s="1242"/>
      <c r="L16" s="1414"/>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07"/>
      <c r="BF16" s="707" t="str">
        <f t="shared" si="1"/>
        <v/>
      </c>
      <c r="BG16" s="707"/>
      <c r="BH16" s="707"/>
    </row>
    <row r="17" spans="1:60" s="1567" customFormat="1" ht="14.25" hidden="1" customHeight="1">
      <c r="A17" s="1270"/>
      <c r="B17" s="1270"/>
      <c r="C17" s="1242"/>
      <c r="D17" s="1242"/>
      <c r="E17" s="2043"/>
      <c r="F17" s="2042"/>
      <c r="G17" s="1242"/>
      <c r="H17" s="1242"/>
      <c r="I17" s="1242"/>
      <c r="J17" s="1242"/>
      <c r="K17" s="1242"/>
      <c r="L17" s="1414"/>
      <c r="M17" s="1249"/>
      <c r="N17" s="1249"/>
      <c r="P17" s="1244"/>
      <c r="Q17" s="1245"/>
      <c r="R17" s="1244"/>
      <c r="S17" s="1250"/>
      <c r="T17" s="1253" t="s">
        <v>446</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07"/>
      <c r="BF17" s="707" t="str">
        <f t="shared" si="1"/>
        <v>Добавить централизованную систему для дифференциации</v>
      </c>
      <c r="BG17" s="707"/>
      <c r="BH17" s="707"/>
    </row>
    <row r="18" spans="1:60" s="1567" customFormat="1" ht="14.25" hidden="1" customHeight="1">
      <c r="A18" s="1270"/>
      <c r="B18" s="1270"/>
      <c r="C18" s="1270"/>
      <c r="D18" s="1270"/>
      <c r="E18" s="2042"/>
      <c r="F18" s="1270"/>
      <c r="G18" s="1270"/>
      <c r="H18" s="1270"/>
      <c r="I18" s="1270"/>
      <c r="J18" s="1270"/>
      <c r="K18" s="1270"/>
      <c r="L18" s="1273"/>
      <c r="M18" s="1249"/>
      <c r="N18" s="1249"/>
      <c r="O18" s="444"/>
      <c r="P18" s="308"/>
      <c r="Q18" s="1271"/>
      <c r="R18" s="308"/>
      <c r="S18" s="1250"/>
      <c r="T18" s="1253" t="s">
        <v>447</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26"/>
      <c r="BF18" s="426" t="str">
        <f t="shared" si="1"/>
        <v>Добавить территорию для дифференциации</v>
      </c>
      <c r="BG18" s="426"/>
      <c r="BH18" s="426"/>
    </row>
    <row r="19" spans="1:60" ht="14.25" hidden="1" customHeight="1">
      <c r="AC19" s="249"/>
      <c r="BA19" s="249"/>
    </row>
    <row r="20" spans="1:60" ht="14.25" hidden="1" customHeight="1">
      <c r="AD20" s="1252" t="s">
        <v>56</v>
      </c>
      <c r="AE20" s="1421"/>
      <c r="AF20" s="473">
        <v>1</v>
      </c>
      <c r="AG20" s="1422"/>
      <c r="AH20" s="1252" t="s">
        <v>56</v>
      </c>
      <c r="AI20" s="1421"/>
      <c r="AJ20" s="473">
        <v>1</v>
      </c>
      <c r="AK20" s="1422"/>
      <c r="AL20" s="1252" t="s">
        <v>56</v>
      </c>
      <c r="AM20" s="1423"/>
      <c r="AN20" s="473">
        <v>1</v>
      </c>
      <c r="AO20" s="1424"/>
      <c r="AP20" s="1252" t="s">
        <v>56</v>
      </c>
      <c r="AQ20" s="1423"/>
      <c r="AR20" s="473">
        <v>1</v>
      </c>
      <c r="AS20" s="1424"/>
      <c r="AT20" s="246"/>
      <c r="AU20" s="313"/>
      <c r="AV20" s="246"/>
      <c r="AW20" s="313"/>
      <c r="AX20" s="1660"/>
      <c r="AY20" s="1405" t="s">
        <v>58</v>
      </c>
      <c r="AZ20" s="1660"/>
      <c r="BA20" s="1405" t="s">
        <v>58</v>
      </c>
    </row>
    <row r="21" spans="1:60" ht="14.25" hidden="1" customHeight="1">
      <c r="BD21" s="422"/>
      <c r="BE21" s="422"/>
      <c r="BF21" s="422"/>
      <c r="BG21" s="422"/>
      <c r="BH21" s="422"/>
    </row>
    <row r="22" spans="1:60" ht="14.25" hidden="1" customHeight="1">
      <c r="O22" s="1293" t="s">
        <v>489</v>
      </c>
      <c r="Z22" s="1272"/>
      <c r="AB22" s="1272"/>
      <c r="AC22" s="249"/>
      <c r="AX22" s="1272"/>
      <c r="AZ22" s="1272"/>
      <c r="BA22" s="249"/>
      <c r="BD22" s="422"/>
      <c r="BE22" s="422"/>
      <c r="BF22" s="422"/>
      <c r="BG22" s="422"/>
      <c r="BH22" s="422"/>
    </row>
    <row r="23" spans="1:60" ht="14.25" hidden="1" customHeight="1">
      <c r="AC23" s="249"/>
      <c r="BA23" s="249"/>
      <c r="BD23" s="422"/>
      <c r="BE23" s="422"/>
      <c r="BF23" s="422"/>
      <c r="BG23" s="422"/>
      <c r="BH23" s="422"/>
    </row>
    <row r="24" spans="1:60" s="1429" customFormat="1" ht="14.25" hidden="1" customHeight="1">
      <c r="M24" s="1428"/>
      <c r="N24" s="1428"/>
      <c r="O24" s="1429" t="s">
        <v>490</v>
      </c>
      <c r="P24" s="1428"/>
      <c r="Q24" s="1430"/>
      <c r="R24" s="1430"/>
      <c r="AA24" s="1427" t="s">
        <v>492</v>
      </c>
      <c r="AC24" s="1427" t="s">
        <v>493</v>
      </c>
      <c r="AD24" s="1427" t="s">
        <v>553</v>
      </c>
      <c r="AH24" s="1427" t="s">
        <v>553</v>
      </c>
      <c r="AK24" s="1427" t="s">
        <v>1712</v>
      </c>
      <c r="AL24" s="1427" t="s">
        <v>553</v>
      </c>
      <c r="AP24" s="1427" t="s">
        <v>553</v>
      </c>
      <c r="AY24" s="1427" t="s">
        <v>492</v>
      </c>
      <c r="BA24" s="1427" t="s">
        <v>493</v>
      </c>
      <c r="BD24" s="1431"/>
      <c r="BE24" s="1431"/>
      <c r="BF24" s="1431"/>
      <c r="BG24" s="1431"/>
      <c r="BH24" s="1431"/>
    </row>
    <row r="25" spans="1:60" ht="14.25" hidden="1" customHeight="1">
      <c r="O25" s="1290"/>
      <c r="BD25" s="422"/>
      <c r="BE25" s="422"/>
      <c r="BF25" s="422"/>
      <c r="BG25" s="422"/>
      <c r="BH25" s="422"/>
    </row>
    <row r="26" spans="1:60" ht="14.25" hidden="1" customHeight="1">
      <c r="O26" s="1290"/>
      <c r="BD26" s="422"/>
      <c r="BE26" s="422"/>
      <c r="BF26" s="422"/>
      <c r="BG26" s="422"/>
      <c r="BH26" s="422"/>
    </row>
    <row r="27" spans="1:60" ht="14.25" customHeight="1">
      <c r="Q27" s="206"/>
      <c r="R27" s="300"/>
      <c r="S27" s="1205"/>
      <c r="T27" s="286"/>
      <c r="U27" s="286"/>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row>
    <row r="28" spans="1:60" ht="33.75" customHeight="1">
      <c r="Q28" s="206"/>
      <c r="R28" s="300"/>
      <c r="S28" s="2067" t="str">
        <f>IF(TEMPLATE_GROUP="P",PT_P_FORM_VOTV_5_NAME_FORM,PT_R_FORM_VOTV_17_NAME_FORM)</f>
        <v>Форма 17. Информация о предложении расчетной величины тарифов на подключение к централизованной системе водоотведения &lt;1&gt;</v>
      </c>
      <c r="T28" s="2067"/>
      <c r="U28" s="2067"/>
      <c r="V28" s="2067"/>
      <c r="W28" s="2067"/>
      <c r="X28" s="2067"/>
      <c r="Y28" s="2067"/>
      <c r="Z28" s="2067"/>
      <c r="AA28" s="2067"/>
      <c r="AB28" s="2067"/>
      <c r="AC28" s="2067"/>
      <c r="AD28" s="2067"/>
      <c r="AE28" s="2067"/>
      <c r="AF28" s="2067"/>
      <c r="AG28" s="2067"/>
      <c r="AH28" s="2067"/>
      <c r="AI28" s="2067"/>
      <c r="AJ28" s="2067"/>
      <c r="AK28" s="2067"/>
      <c r="AL28" s="2067"/>
      <c r="AM28" s="2067"/>
      <c r="AN28" s="2067"/>
      <c r="AO28" s="2067"/>
      <c r="AP28" s="2067"/>
      <c r="AQ28" s="2067"/>
      <c r="AR28" s="2067"/>
      <c r="AS28" s="2067"/>
      <c r="AT28" s="2067"/>
      <c r="AU28" s="2067"/>
      <c r="AV28" s="2067"/>
      <c r="AW28" s="2067"/>
      <c r="AX28" s="2067"/>
      <c r="AY28" s="2067"/>
      <c r="AZ28" s="2067"/>
      <c r="BA28" s="1162"/>
    </row>
    <row r="29" spans="1:60" ht="14.25" customHeight="1">
      <c r="Q29" s="206"/>
      <c r="R29" s="300"/>
      <c r="S29" s="1927" t="str">
        <f>IF(org=0,"Не определено",org)</f>
        <v>НАО "СВЕЗА Мантурово"</v>
      </c>
      <c r="T29" s="1927"/>
      <c r="U29" s="1927"/>
      <c r="V29" s="1927"/>
      <c r="W29" s="1927"/>
      <c r="X29" s="1927"/>
      <c r="Y29" s="1927"/>
      <c r="Z29" s="1927"/>
      <c r="AA29" s="1927"/>
      <c r="AB29" s="1927"/>
      <c r="AC29" s="1927"/>
      <c r="AD29" s="1927"/>
      <c r="AE29" s="1927"/>
      <c r="AF29" s="1927"/>
      <c r="AG29" s="1927"/>
      <c r="AH29" s="1927"/>
      <c r="AI29" s="1927"/>
      <c r="AJ29" s="1927"/>
      <c r="AK29" s="1927"/>
      <c r="AL29" s="1927"/>
      <c r="AM29" s="1927"/>
      <c r="AN29" s="1927"/>
      <c r="AO29" s="1927"/>
      <c r="AP29" s="1927"/>
      <c r="AQ29" s="1927"/>
      <c r="AR29" s="1927"/>
      <c r="AS29" s="1927"/>
      <c r="AT29" s="1927"/>
      <c r="AU29" s="1927"/>
      <c r="AV29" s="1927"/>
      <c r="AW29" s="1927"/>
      <c r="AX29" s="1927"/>
      <c r="AY29" s="1927"/>
      <c r="AZ29" s="1927"/>
      <c r="BA29" s="1162"/>
    </row>
    <row r="30" spans="1:60" ht="14.25" hidden="1" customHeight="1">
      <c r="Q30" s="206"/>
      <c r="R30" s="300"/>
      <c r="S30" s="1205"/>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5"/>
    </row>
    <row r="31" spans="1:60" s="1781" customFormat="1" ht="25.5" hidden="1" customHeight="1">
      <c r="A31" s="1294"/>
      <c r="B31" s="1294"/>
      <c r="C31" s="1294"/>
      <c r="D31" s="1294"/>
      <c r="E31" s="1294"/>
      <c r="F31" s="1294"/>
      <c r="G31" s="1294"/>
      <c r="H31" s="1294"/>
      <c r="I31" s="1294"/>
      <c r="J31" s="1294"/>
      <c r="K31" s="1294"/>
      <c r="L31" s="1295"/>
      <c r="M31" s="1294"/>
      <c r="N31" s="1294"/>
      <c r="O31" s="1294"/>
      <c r="P31" s="1294"/>
      <c r="Q31" s="1294"/>
      <c r="S31" s="2033" t="s">
        <v>39</v>
      </c>
      <c r="T31" s="2033"/>
      <c r="U31" s="1298"/>
      <c r="V31" s="2035"/>
      <c r="W31" s="2035"/>
      <c r="X31" s="2035"/>
      <c r="Y31" s="2035"/>
      <c r="Z31" s="2035"/>
      <c r="AA31" s="2035"/>
      <c r="AB31" s="2035"/>
      <c r="AC31" s="248"/>
      <c r="AD31" s="2035" t="str">
        <f>IF(TITLE_NAME_OR_PR_CHANGE="",IF(TITLE_NAME_OR_PR="","",TITLE_NAME_OR_PR),TITLE_NAME_OR_PR_CHANGE)</f>
        <v/>
      </c>
      <c r="AE31" s="2035"/>
      <c r="AF31" s="2035"/>
      <c r="AG31" s="2035"/>
      <c r="AH31" s="2035"/>
      <c r="AI31" s="2035"/>
      <c r="AJ31" s="2035"/>
      <c r="AK31" s="2035"/>
      <c r="AL31" s="2035"/>
      <c r="AM31" s="2035"/>
      <c r="AN31" s="2035"/>
      <c r="AO31" s="2035"/>
      <c r="AP31" s="2035"/>
      <c r="AQ31" s="2035"/>
      <c r="AR31" s="2035"/>
      <c r="AS31" s="2035"/>
      <c r="AT31" s="2035"/>
      <c r="AU31" s="2035"/>
      <c r="AV31" s="2035"/>
      <c r="AW31" s="2035"/>
      <c r="AX31" s="2035"/>
      <c r="AY31" s="2035"/>
      <c r="AZ31" s="2035"/>
      <c r="BA31" s="248"/>
      <c r="BB31" s="248"/>
      <c r="BC31" s="196"/>
      <c r="BD31" s="292"/>
      <c r="BE31" s="292"/>
      <c r="BF31" s="292"/>
      <c r="BG31" s="292"/>
      <c r="BH31" s="292"/>
    </row>
    <row r="32" spans="1:60" s="1781" customFormat="1" ht="18.75" hidden="1" customHeight="1">
      <c r="A32" s="1294"/>
      <c r="B32" s="1294"/>
      <c r="C32" s="1294"/>
      <c r="D32" s="1294"/>
      <c r="E32" s="1294"/>
      <c r="F32" s="1294"/>
      <c r="G32" s="1294"/>
      <c r="H32" s="1294"/>
      <c r="I32" s="1294"/>
      <c r="J32" s="1294"/>
      <c r="K32" s="1294"/>
      <c r="L32" s="1295"/>
      <c r="M32" s="1294"/>
      <c r="N32" s="1294"/>
      <c r="O32" s="1294"/>
      <c r="P32" s="1294"/>
      <c r="Q32" s="1294"/>
      <c r="S32" s="2033" t="s">
        <v>495</v>
      </c>
      <c r="T32" s="2033"/>
      <c r="U32" s="1298"/>
      <c r="V32" s="2034"/>
      <c r="W32" s="2034"/>
      <c r="X32" s="2034"/>
      <c r="Y32" s="2034"/>
      <c r="Z32" s="2034"/>
      <c r="AA32" s="2034"/>
      <c r="AB32" s="2034"/>
      <c r="AC32" s="248"/>
      <c r="AD32" s="2034" t="str">
        <f>IF(TITLE_DATE_CHANGE_PERIOD="",IF(TITLE_DATE_PR="","",TITLE_DATE_PR),TITLE_DATE_CHANGE_PERIOD)</f>
        <v/>
      </c>
      <c r="AE32" s="2034"/>
      <c r="AF32" s="2034"/>
      <c r="AG32" s="2034"/>
      <c r="AH32" s="2034"/>
      <c r="AI32" s="2034"/>
      <c r="AJ32" s="2034"/>
      <c r="AK32" s="2034"/>
      <c r="AL32" s="2034"/>
      <c r="AM32" s="2034"/>
      <c r="AN32" s="2034"/>
      <c r="AO32" s="2034"/>
      <c r="AP32" s="2034"/>
      <c r="AQ32" s="2034"/>
      <c r="AR32" s="2034"/>
      <c r="AS32" s="2034"/>
      <c r="AT32" s="2034"/>
      <c r="AU32" s="2034"/>
      <c r="AV32" s="2034"/>
      <c r="AW32" s="2034"/>
      <c r="AX32" s="2034"/>
      <c r="AY32" s="2034"/>
      <c r="AZ32" s="2034"/>
      <c r="BA32" s="248"/>
      <c r="BB32" s="248"/>
      <c r="BC32" s="196"/>
      <c r="BD32" s="292"/>
      <c r="BE32" s="292"/>
      <c r="BF32" s="292"/>
      <c r="BG32" s="292"/>
      <c r="BH32" s="292"/>
    </row>
    <row r="33" spans="1:60" s="1781" customFormat="1" ht="18.75" hidden="1" customHeight="1">
      <c r="A33" s="1294"/>
      <c r="B33" s="1294"/>
      <c r="C33" s="1294"/>
      <c r="D33" s="1294"/>
      <c r="E33" s="1294"/>
      <c r="F33" s="1294"/>
      <c r="G33" s="1294"/>
      <c r="H33" s="1294"/>
      <c r="I33" s="1294"/>
      <c r="J33" s="1294"/>
      <c r="K33" s="1294"/>
      <c r="L33" s="1295"/>
      <c r="M33" s="1294"/>
      <c r="N33" s="1294"/>
      <c r="O33" s="1294"/>
      <c r="P33" s="1294"/>
      <c r="Q33" s="1294"/>
      <c r="S33" s="2033" t="s">
        <v>496</v>
      </c>
      <c r="T33" s="2033"/>
      <c r="U33" s="1298"/>
      <c r="V33" s="2035"/>
      <c r="W33" s="2035"/>
      <c r="X33" s="2035"/>
      <c r="Y33" s="2035"/>
      <c r="Z33" s="2035"/>
      <c r="AA33" s="2035"/>
      <c r="AB33" s="2035"/>
      <c r="AC33" s="248"/>
      <c r="AD33" s="2035" t="str">
        <f>IF(TITLE_NUMBER_PR_CHANGE="",IF(TITLE_NUMBER_PR="","",TITLE_NUMBER_PR),TITLE_NUMBER_PR_CHANGE)</f>
        <v/>
      </c>
      <c r="AE33" s="2035"/>
      <c r="AF33" s="2035"/>
      <c r="AG33" s="2035"/>
      <c r="AH33" s="2035"/>
      <c r="AI33" s="2035"/>
      <c r="AJ33" s="2035"/>
      <c r="AK33" s="2035"/>
      <c r="AL33" s="2035"/>
      <c r="AM33" s="2035"/>
      <c r="AN33" s="2035"/>
      <c r="AO33" s="2035"/>
      <c r="AP33" s="2035"/>
      <c r="AQ33" s="2035"/>
      <c r="AR33" s="2035"/>
      <c r="AS33" s="2035"/>
      <c r="AT33" s="2035"/>
      <c r="AU33" s="2035"/>
      <c r="AV33" s="2035"/>
      <c r="AW33" s="2035"/>
      <c r="AX33" s="2035"/>
      <c r="AY33" s="2035"/>
      <c r="AZ33" s="2035"/>
      <c r="BA33" s="248"/>
      <c r="BB33" s="248"/>
      <c r="BC33" s="196"/>
      <c r="BD33" s="292"/>
      <c r="BE33" s="292"/>
      <c r="BF33" s="292"/>
      <c r="BG33" s="292"/>
      <c r="BH33" s="292"/>
    </row>
    <row r="34" spans="1:60" s="1781" customFormat="1" ht="18.75" hidden="1" customHeight="1">
      <c r="A34" s="1294"/>
      <c r="B34" s="1294"/>
      <c r="C34" s="1294"/>
      <c r="D34" s="1294"/>
      <c r="E34" s="1294"/>
      <c r="F34" s="1294"/>
      <c r="G34" s="1294"/>
      <c r="H34" s="1294"/>
      <c r="I34" s="1294"/>
      <c r="J34" s="1294"/>
      <c r="K34" s="1294"/>
      <c r="L34" s="1295"/>
      <c r="M34" s="1294"/>
      <c r="N34" s="1294"/>
      <c r="O34" s="1294"/>
      <c r="P34" s="1294"/>
      <c r="Q34" s="1294"/>
      <c r="S34" s="2033" t="s">
        <v>40</v>
      </c>
      <c r="T34" s="2033"/>
      <c r="U34" s="1298"/>
      <c r="V34" s="2035"/>
      <c r="W34" s="2035"/>
      <c r="X34" s="2035"/>
      <c r="Y34" s="2035"/>
      <c r="Z34" s="2035"/>
      <c r="AA34" s="2035"/>
      <c r="AB34" s="2035"/>
      <c r="AC34" s="248"/>
      <c r="AD34" s="2035" t="str">
        <f>IF(TITLE_IST_PUB_CHANGE="",IF(TITLE_IST_PUB="","",TITLE_IST_PUB),TITLE_IST_PUB_CHANGE)</f>
        <v/>
      </c>
      <c r="AE34" s="2035"/>
      <c r="AF34" s="2035"/>
      <c r="AG34" s="2035"/>
      <c r="AH34" s="2035"/>
      <c r="AI34" s="2035"/>
      <c r="AJ34" s="2035"/>
      <c r="AK34" s="2035"/>
      <c r="AL34" s="2035"/>
      <c r="AM34" s="2035"/>
      <c r="AN34" s="2035"/>
      <c r="AO34" s="2035"/>
      <c r="AP34" s="2035"/>
      <c r="AQ34" s="2035"/>
      <c r="AR34" s="2035"/>
      <c r="AS34" s="2035"/>
      <c r="AT34" s="2035"/>
      <c r="AU34" s="2035"/>
      <c r="AV34" s="2035"/>
      <c r="AW34" s="2035"/>
      <c r="AX34" s="2035"/>
      <c r="AY34" s="2035"/>
      <c r="AZ34" s="2035"/>
      <c r="BA34" s="248"/>
      <c r="BB34" s="248"/>
      <c r="BC34" s="196"/>
      <c r="BD34" s="292"/>
      <c r="BE34" s="292"/>
      <c r="BF34" s="292"/>
      <c r="BG34" s="292"/>
      <c r="BH34" s="292"/>
    </row>
    <row r="35" spans="1:60" ht="14.25" hidden="1" customHeight="1">
      <c r="Q35" s="206"/>
      <c r="R35" s="300"/>
      <c r="S35" s="1205"/>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5"/>
    </row>
    <row r="36" spans="1:60" s="1781" customFormat="1" ht="18.75" hidden="1" customHeight="1">
      <c r="A36" s="1294"/>
      <c r="B36" s="1294"/>
      <c r="C36" s="1294"/>
      <c r="D36" s="1294"/>
      <c r="E36" s="1294"/>
      <c r="F36" s="1294"/>
      <c r="G36" s="1294"/>
      <c r="H36" s="1294"/>
      <c r="I36" s="1294"/>
      <c r="J36" s="1294"/>
      <c r="K36" s="1294"/>
      <c r="L36" s="1295"/>
      <c r="M36" s="1294"/>
      <c r="N36" s="1294"/>
      <c r="O36" s="1294"/>
      <c r="P36" s="1294"/>
      <c r="Q36" s="1294"/>
      <c r="S36" s="2033" t="s">
        <v>495</v>
      </c>
      <c r="T36" s="2033"/>
      <c r="U36" s="1298"/>
      <c r="V36" s="2034"/>
      <c r="W36" s="2034"/>
      <c r="X36" s="2034"/>
      <c r="Y36" s="2034"/>
      <c r="Z36" s="2034"/>
      <c r="AA36" s="2034"/>
      <c r="AB36" s="2034"/>
      <c r="AC36" s="248"/>
      <c r="AD36" s="2034" t="str">
        <f>IF(TITLE_DATE_CHANGE_PERIOD="",IF(TITLE_DATE_PR="","",TITLE_DATE_PR),TITLE_DATE_CHANGE_PERIOD)</f>
        <v/>
      </c>
      <c r="AE36" s="2034"/>
      <c r="AF36" s="2034"/>
      <c r="AG36" s="2034"/>
      <c r="AH36" s="2034"/>
      <c r="AI36" s="2034"/>
      <c r="AJ36" s="2034"/>
      <c r="AK36" s="2034"/>
      <c r="AL36" s="2034"/>
      <c r="AM36" s="2034"/>
      <c r="AN36" s="2034"/>
      <c r="AO36" s="2034"/>
      <c r="AP36" s="2034"/>
      <c r="AQ36" s="2034"/>
      <c r="AR36" s="2034"/>
      <c r="AS36" s="2034"/>
      <c r="AT36" s="2034"/>
      <c r="AU36" s="2034"/>
      <c r="AV36" s="2034"/>
      <c r="AW36" s="2034"/>
      <c r="AX36" s="2034"/>
      <c r="AY36" s="2034"/>
      <c r="AZ36" s="2034"/>
      <c r="BA36" s="248"/>
      <c r="BB36" s="248"/>
      <c r="BC36" s="196"/>
      <c r="BD36" s="292"/>
      <c r="BE36" s="292"/>
      <c r="BF36" s="292"/>
      <c r="BG36" s="292"/>
      <c r="BH36" s="292"/>
    </row>
    <row r="37" spans="1:60" s="1781" customFormat="1" ht="18.75" hidden="1" customHeight="1">
      <c r="A37" s="1294"/>
      <c r="B37" s="1294"/>
      <c r="C37" s="1294"/>
      <c r="D37" s="1294"/>
      <c r="E37" s="1294"/>
      <c r="F37" s="1294"/>
      <c r="G37" s="1294"/>
      <c r="H37" s="1294"/>
      <c r="I37" s="1294"/>
      <c r="J37" s="1294"/>
      <c r="K37" s="1294"/>
      <c r="L37" s="1295"/>
      <c r="M37" s="1294"/>
      <c r="N37" s="1294"/>
      <c r="O37" s="1294"/>
      <c r="P37" s="1294"/>
      <c r="Q37" s="1294"/>
      <c r="S37" s="2033" t="s">
        <v>496</v>
      </c>
      <c r="T37" s="2033"/>
      <c r="U37" s="1298"/>
      <c r="V37" s="2035"/>
      <c r="W37" s="2035"/>
      <c r="X37" s="2035"/>
      <c r="Y37" s="2035"/>
      <c r="Z37" s="2035"/>
      <c r="AA37" s="2035"/>
      <c r="AB37" s="2035"/>
      <c r="AC37" s="248"/>
      <c r="AD37" s="2035" t="str">
        <f>IF(TITLE_NUMBER_PR_CHANGE="",IF(TITLE_NUMBER_PR="","",TITLE_NUMBER_PR),TITLE_NUMBER_PR_CHANGE)</f>
        <v/>
      </c>
      <c r="AE37" s="2035"/>
      <c r="AF37" s="2035"/>
      <c r="AG37" s="2035"/>
      <c r="AH37" s="2035"/>
      <c r="AI37" s="2035"/>
      <c r="AJ37" s="2035"/>
      <c r="AK37" s="2035"/>
      <c r="AL37" s="2035"/>
      <c r="AM37" s="2035"/>
      <c r="AN37" s="2035"/>
      <c r="AO37" s="2035"/>
      <c r="AP37" s="2035"/>
      <c r="AQ37" s="2035"/>
      <c r="AR37" s="2035"/>
      <c r="AS37" s="2035"/>
      <c r="AT37" s="2035"/>
      <c r="AU37" s="2035"/>
      <c r="AV37" s="2035"/>
      <c r="AW37" s="2035"/>
      <c r="AX37" s="2035"/>
      <c r="AY37" s="2035"/>
      <c r="AZ37" s="2035"/>
      <c r="BA37" s="248"/>
      <c r="BB37" s="248"/>
      <c r="BC37" s="196"/>
      <c r="BD37" s="292"/>
      <c r="BE37" s="292"/>
      <c r="BF37" s="292"/>
      <c r="BG37" s="292"/>
      <c r="BH37" s="292"/>
    </row>
    <row r="38" spans="1:60" s="1781" customFormat="1" ht="0" hidden="1" customHeight="1">
      <c r="A38" s="1294"/>
      <c r="B38" s="1294"/>
      <c r="C38" s="1294"/>
      <c r="D38" s="1294"/>
      <c r="E38" s="1294"/>
      <c r="F38" s="1294"/>
      <c r="G38" s="1294"/>
      <c r="H38" s="1294"/>
      <c r="I38" s="1294"/>
      <c r="J38" s="1294"/>
      <c r="K38" s="1294"/>
      <c r="L38" s="1295"/>
      <c r="M38" s="1294"/>
      <c r="N38" s="1294"/>
      <c r="O38" s="1294"/>
      <c r="P38" s="1294"/>
      <c r="Q38" s="1294"/>
      <c r="S38" s="244"/>
      <c r="T38" s="244"/>
      <c r="U38" s="1408"/>
      <c r="V38" s="248"/>
      <c r="W38" s="248"/>
      <c r="X38" s="248"/>
      <c r="Y38" s="248"/>
      <c r="Z38" s="248"/>
      <c r="AA38" s="248"/>
      <c r="AB38" s="248"/>
      <c r="AC38" s="194" t="s">
        <v>499</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499</v>
      </c>
      <c r="BD38" s="292"/>
      <c r="BE38" s="292"/>
      <c r="BF38" s="292"/>
      <c r="BG38" s="292"/>
      <c r="BH38" s="292"/>
    </row>
    <row r="39" spans="1:60" ht="14.25" customHeight="1">
      <c r="Q39" s="206"/>
      <c r="R39" s="300"/>
      <c r="S39" s="1205"/>
      <c r="T39" s="286"/>
      <c r="U39" s="1163"/>
      <c r="V39" s="2053"/>
      <c r="W39" s="2053"/>
      <c r="X39" s="2053"/>
      <c r="Y39" s="2053"/>
      <c r="Z39" s="2053"/>
      <c r="AA39" s="2053"/>
      <c r="AB39" s="2053"/>
      <c r="AC39" s="2053"/>
      <c r="AD39" s="2053"/>
      <c r="AE39" s="2053"/>
      <c r="AF39" s="2053"/>
      <c r="AG39" s="2053"/>
      <c r="AH39" s="2053"/>
      <c r="AI39" s="2053"/>
      <c r="AJ39" s="2053"/>
      <c r="AK39" s="2053"/>
      <c r="AL39" s="2053"/>
      <c r="AM39" s="2053"/>
      <c r="AN39" s="2053"/>
      <c r="AO39" s="2053"/>
      <c r="AP39" s="2053"/>
      <c r="AQ39" s="2053"/>
      <c r="AR39" s="2053"/>
      <c r="AS39" s="2053"/>
      <c r="AT39" s="2053"/>
      <c r="AU39" s="2053"/>
      <c r="AV39" s="2053"/>
      <c r="AW39" s="2053"/>
      <c r="AX39" s="2053"/>
      <c r="AY39" s="2053"/>
      <c r="AZ39" s="2053"/>
      <c r="BA39" s="2053"/>
    </row>
    <row r="40" spans="1:60" ht="14.25" customHeight="1">
      <c r="Q40" s="206"/>
      <c r="R40" s="300"/>
      <c r="S40" s="1840" t="s">
        <v>282</v>
      </c>
      <c r="T40" s="1840"/>
      <c r="U40" s="1840"/>
      <c r="V40" s="1840"/>
      <c r="W40" s="1840"/>
      <c r="X40" s="1840"/>
      <c r="Y40" s="1840"/>
      <c r="Z40" s="1840"/>
      <c r="AA40" s="1840"/>
      <c r="AB40" s="1840"/>
      <c r="AC40" s="1840"/>
      <c r="AD40" s="1840"/>
      <c r="AE40" s="1840"/>
      <c r="AF40" s="1840"/>
      <c r="AG40" s="1840"/>
      <c r="AH40" s="1840"/>
      <c r="AI40" s="1840"/>
      <c r="AJ40" s="1840"/>
      <c r="AK40" s="1840"/>
      <c r="AL40" s="1840"/>
      <c r="AM40" s="1840"/>
      <c r="AN40" s="1840"/>
      <c r="AO40" s="1840"/>
      <c r="AP40" s="1840"/>
      <c r="AQ40" s="1840"/>
      <c r="AR40" s="1840"/>
      <c r="AS40" s="1840"/>
      <c r="AT40" s="1840"/>
      <c r="AU40" s="1840"/>
      <c r="AV40" s="1840"/>
      <c r="AW40" s="1840"/>
      <c r="AX40" s="1840"/>
      <c r="AY40" s="1840"/>
      <c r="AZ40" s="1840"/>
      <c r="BA40" s="1840"/>
      <c r="BB40" s="1840"/>
      <c r="BC40" s="1840" t="s">
        <v>283</v>
      </c>
    </row>
    <row r="41" spans="1:60" ht="14.25" customHeight="1">
      <c r="Q41" s="206"/>
      <c r="R41" s="300"/>
      <c r="S41" s="2054" t="s">
        <v>87</v>
      </c>
      <c r="T41" s="1925" t="s">
        <v>1713</v>
      </c>
      <c r="U41" s="215"/>
      <c r="V41" s="2055" t="s">
        <v>501</v>
      </c>
      <c r="W41" s="2056"/>
      <c r="X41" s="2056"/>
      <c r="Y41" s="2056"/>
      <c r="Z41" s="2056"/>
      <c r="AA41" s="2056"/>
      <c r="AB41" s="2057"/>
      <c r="AC41" s="2058" t="s">
        <v>502</v>
      </c>
      <c r="AD41" s="2081" t="s">
        <v>2119</v>
      </c>
      <c r="AE41" s="2070"/>
      <c r="AF41" s="2070"/>
      <c r="AG41" s="2082"/>
      <c r="AH41" s="2081" t="s">
        <v>2120</v>
      </c>
      <c r="AI41" s="2070"/>
      <c r="AJ41" s="2070"/>
      <c r="AK41" s="2082"/>
      <c r="AL41" s="2081" t="s">
        <v>2121</v>
      </c>
      <c r="AM41" s="2070"/>
      <c r="AN41" s="2070"/>
      <c r="AO41" s="2082"/>
      <c r="AP41" s="2081" t="s">
        <v>1717</v>
      </c>
      <c r="AQ41" s="2070"/>
      <c r="AR41" s="2070"/>
      <c r="AS41" s="2082"/>
      <c r="AT41" s="2055" t="s">
        <v>501</v>
      </c>
      <c r="AU41" s="2056"/>
      <c r="AV41" s="2056"/>
      <c r="AW41" s="2056"/>
      <c r="AX41" s="2056"/>
      <c r="AY41" s="2056"/>
      <c r="AZ41" s="2057"/>
      <c r="BA41" s="2058" t="s">
        <v>502</v>
      </c>
      <c r="BB41" s="2061" t="s">
        <v>504</v>
      </c>
      <c r="BC41" s="1840"/>
    </row>
    <row r="42" spans="1:60" ht="33.75" customHeight="1">
      <c r="Q42" s="206"/>
      <c r="R42" s="300"/>
      <c r="S42" s="2054"/>
      <c r="T42" s="1925"/>
      <c r="U42" s="947"/>
      <c r="V42" s="1895" t="s">
        <v>1718</v>
      </c>
      <c r="W42" s="1896"/>
      <c r="X42" s="1895" t="s">
        <v>1719</v>
      </c>
      <c r="Y42" s="1896"/>
      <c r="Z42" s="1895" t="s">
        <v>1720</v>
      </c>
      <c r="AA42" s="2075"/>
      <c r="AB42" s="1896"/>
      <c r="AC42" s="2059"/>
      <c r="AD42" s="2083"/>
      <c r="AE42" s="2084"/>
      <c r="AF42" s="2084"/>
      <c r="AG42" s="2096"/>
      <c r="AH42" s="2083"/>
      <c r="AI42" s="2084"/>
      <c r="AJ42" s="2084"/>
      <c r="AK42" s="2096"/>
      <c r="AL42" s="2083"/>
      <c r="AM42" s="2084"/>
      <c r="AN42" s="2084"/>
      <c r="AO42" s="2096"/>
      <c r="AP42" s="2083"/>
      <c r="AQ42" s="2084"/>
      <c r="AR42" s="2084"/>
      <c r="AS42" s="2096"/>
      <c r="AT42" s="1895" t="s">
        <v>2122</v>
      </c>
      <c r="AU42" s="1896"/>
      <c r="AV42" s="1895" t="s">
        <v>2123</v>
      </c>
      <c r="AW42" s="1896"/>
      <c r="AX42" s="1895" t="s">
        <v>1720</v>
      </c>
      <c r="AY42" s="2075"/>
      <c r="AZ42" s="1896"/>
      <c r="BA42" s="2059"/>
      <c r="BB42" s="2062"/>
      <c r="BC42" s="1840"/>
    </row>
    <row r="43" spans="1:60" ht="14.25" customHeight="1">
      <c r="Q43" s="206"/>
      <c r="R43" s="300"/>
      <c r="S43" s="2054"/>
      <c r="T43" s="1925"/>
      <c r="U43" s="947"/>
      <c r="V43" s="1900"/>
      <c r="W43" s="1901"/>
      <c r="X43" s="1900"/>
      <c r="Y43" s="1901"/>
      <c r="Z43" s="1900"/>
      <c r="AA43" s="2076"/>
      <c r="AB43" s="1901"/>
      <c r="AC43" s="2059"/>
      <c r="AD43" s="2083"/>
      <c r="AE43" s="2084"/>
      <c r="AF43" s="2084"/>
      <c r="AG43" s="2096"/>
      <c r="AH43" s="2083"/>
      <c r="AI43" s="2084"/>
      <c r="AJ43" s="2084"/>
      <c r="AK43" s="2096"/>
      <c r="AL43" s="2083"/>
      <c r="AM43" s="2084"/>
      <c r="AN43" s="2084"/>
      <c r="AO43" s="2096"/>
      <c r="AP43" s="2083"/>
      <c r="AQ43" s="2084"/>
      <c r="AR43" s="2084"/>
      <c r="AS43" s="2096"/>
      <c r="AT43" s="1900"/>
      <c r="AU43" s="1901"/>
      <c r="AV43" s="1900"/>
      <c r="AW43" s="1901"/>
      <c r="AX43" s="1900"/>
      <c r="AY43" s="2076"/>
      <c r="AZ43" s="1901"/>
      <c r="BA43" s="2059"/>
      <c r="BB43" s="2062"/>
      <c r="BC43" s="1840"/>
    </row>
    <row r="44" spans="1:60" ht="14.25" customHeight="1">
      <c r="A44" s="1296"/>
      <c r="B44" s="1296" t="s">
        <v>131</v>
      </c>
      <c r="C44" s="1296" t="s">
        <v>132</v>
      </c>
      <c r="D44" s="1296" t="s">
        <v>133</v>
      </c>
      <c r="E44" s="1290" t="s">
        <v>509</v>
      </c>
      <c r="F44" s="1290" t="s">
        <v>510</v>
      </c>
      <c r="G44" s="1290" t="s">
        <v>511</v>
      </c>
      <c r="H44" s="1290" t="s">
        <v>512</v>
      </c>
      <c r="I44" s="1290" t="s">
        <v>513</v>
      </c>
      <c r="J44" s="1290" t="s">
        <v>514</v>
      </c>
      <c r="K44" s="1290" t="s">
        <v>515</v>
      </c>
      <c r="L44" s="1290" t="s">
        <v>490</v>
      </c>
      <c r="Q44" s="206"/>
      <c r="R44" s="300"/>
      <c r="S44" s="2054"/>
      <c r="T44" s="1925"/>
      <c r="U44" s="216"/>
      <c r="V44" s="1399" t="s">
        <v>563</v>
      </c>
      <c r="W44" s="1399" t="s">
        <v>564</v>
      </c>
      <c r="X44" s="1399" t="s">
        <v>563</v>
      </c>
      <c r="Y44" s="1399" t="s">
        <v>564</v>
      </c>
      <c r="Z44" s="1409" t="s">
        <v>518</v>
      </c>
      <c r="AA44" s="1931" t="s">
        <v>519</v>
      </c>
      <c r="AB44" s="1945"/>
      <c r="AC44" s="2060"/>
      <c r="AD44" s="2085"/>
      <c r="AE44" s="2086"/>
      <c r="AF44" s="2086"/>
      <c r="AG44" s="2087"/>
      <c r="AH44" s="2085"/>
      <c r="AI44" s="2086"/>
      <c r="AJ44" s="2086"/>
      <c r="AK44" s="2087"/>
      <c r="AL44" s="2085"/>
      <c r="AM44" s="2086"/>
      <c r="AN44" s="2086"/>
      <c r="AO44" s="2087"/>
      <c r="AP44" s="2085"/>
      <c r="AQ44" s="2086"/>
      <c r="AR44" s="2086"/>
      <c r="AS44" s="2087"/>
      <c r="AT44" s="1399" t="s">
        <v>563</v>
      </c>
      <c r="AU44" s="1399" t="s">
        <v>564</v>
      </c>
      <c r="AV44" s="1399" t="s">
        <v>563</v>
      </c>
      <c r="AW44" s="1399" t="s">
        <v>564</v>
      </c>
      <c r="AX44" s="1409" t="s">
        <v>518</v>
      </c>
      <c r="AY44" s="1931" t="s">
        <v>519</v>
      </c>
      <c r="AZ44" s="1945"/>
      <c r="BA44" s="2060"/>
      <c r="BB44" s="2063"/>
      <c r="BC44" s="1840"/>
    </row>
    <row r="45" spans="1:60" s="1566" customFormat="1" ht="11.25" hidden="1" customHeight="1">
      <c r="A45" s="1296"/>
      <c r="B45" s="1296"/>
      <c r="C45" s="1296"/>
      <c r="D45" s="1296"/>
      <c r="E45" s="1296"/>
      <c r="F45" s="1296"/>
      <c r="G45" s="1296"/>
      <c r="H45" s="1296"/>
      <c r="I45" s="1296"/>
      <c r="J45" s="1296"/>
      <c r="K45" s="1296"/>
      <c r="L45" s="1290"/>
      <c r="M45" s="1288"/>
      <c r="N45" s="1288"/>
      <c r="O45" s="1288"/>
      <c r="P45" s="436"/>
      <c r="Q45" s="1181"/>
      <c r="R45" s="1181">
        <v>1</v>
      </c>
      <c r="S45" s="1207" t="s">
        <v>105</v>
      </c>
      <c r="T45" s="1182" t="s">
        <v>106</v>
      </c>
      <c r="U45" s="1164" t="str">
        <f ca="1">OFFSET(U45,0,-1)</f>
        <v>2</v>
      </c>
      <c r="V45" s="1402">
        <f t="shared" ref="V45:AA45" ca="1" si="2">OFFSET(V45,0,-1)+1</f>
        <v>3</v>
      </c>
      <c r="W45" s="1402">
        <f t="shared" ca="1" si="2"/>
        <v>4</v>
      </c>
      <c r="X45" s="1402">
        <f t="shared" ca="1" si="2"/>
        <v>5</v>
      </c>
      <c r="Y45" s="1402">
        <f t="shared" ca="1" si="2"/>
        <v>6</v>
      </c>
      <c r="Z45" s="1402">
        <f t="shared" ca="1" si="2"/>
        <v>7</v>
      </c>
      <c r="AA45" s="2052">
        <f t="shared" ca="1" si="2"/>
        <v>8</v>
      </c>
      <c r="AB45" s="2052"/>
      <c r="AC45" s="1402">
        <f ca="1">OFFSET(AC45,0,-2)+1</f>
        <v>9</v>
      </c>
      <c r="AD45" s="1402">
        <f ca="1">OFFSET(AD45,0,-1)+1</f>
        <v>10</v>
      </c>
      <c r="AE45" s="1402"/>
      <c r="AF45" s="1402"/>
      <c r="AG45" s="1402"/>
      <c r="AH45" s="1402"/>
      <c r="AI45" s="1402"/>
      <c r="AJ45" s="1402"/>
      <c r="AK45" s="1402"/>
      <c r="AL45" s="1402"/>
      <c r="AM45" s="1402"/>
      <c r="AN45" s="1402"/>
      <c r="AO45" s="1402"/>
      <c r="AP45" s="1402"/>
      <c r="AQ45" s="1402"/>
      <c r="AR45" s="1402"/>
      <c r="AS45" s="1402"/>
      <c r="AT45" s="1402"/>
      <c r="AU45" s="1402"/>
      <c r="AV45" s="1402"/>
      <c r="AW45" s="1402">
        <f ca="1">OFFSET(AW45,0,-1)+1</f>
        <v>1</v>
      </c>
      <c r="AX45" s="1402">
        <f ca="1">OFFSET(AX45,0,-1)+1</f>
        <v>2</v>
      </c>
      <c r="AY45" s="2052">
        <f ca="1">OFFSET(AY45,0,-1)+1</f>
        <v>3</v>
      </c>
      <c r="AZ45" s="2052"/>
      <c r="BA45" s="1402">
        <f ca="1">OFFSET(BA45,0,-2)+1</f>
        <v>4</v>
      </c>
      <c r="BB45" s="1164">
        <f ca="1">OFFSET(BB45,0,-1)</f>
        <v>4</v>
      </c>
      <c r="BC45" s="1402">
        <f ca="1">OFFSET(BC45,0,-1)+1</f>
        <v>5</v>
      </c>
      <c r="BD45" s="437"/>
      <c r="BE45" s="437"/>
      <c r="BF45" s="437"/>
      <c r="BG45" s="437"/>
      <c r="BH45" s="437"/>
    </row>
    <row r="46" spans="1:60" ht="21" customHeight="1">
      <c r="A46" s="1289" t="s">
        <v>258</v>
      </c>
      <c r="B46" s="1289"/>
      <c r="C46" s="1289"/>
      <c r="D46" s="1289"/>
      <c r="E46" s="2042">
        <v>1</v>
      </c>
      <c r="F46" s="1289"/>
      <c r="G46" s="1289"/>
      <c r="H46" s="1289"/>
      <c r="I46" s="1289"/>
      <c r="J46" s="1289"/>
      <c r="K46" s="1289"/>
      <c r="L46" s="1290"/>
      <c r="M46" s="1291"/>
      <c r="N46" s="1291"/>
      <c r="O46" s="1291"/>
      <c r="P46" s="1335"/>
      <c r="Q46" s="790"/>
      <c r="R46" s="276"/>
      <c r="S46" s="1413">
        <f>INDEX(PT_DIFFERENTIATION_NUM_NTAR,MATCH(A46,PT_DIFFERENTIATION_NTAR_ID,0))</f>
        <v>0</v>
      </c>
      <c r="T46" s="212" t="s">
        <v>119</v>
      </c>
      <c r="U46" s="214"/>
      <c r="V46" s="2037"/>
      <c r="W46" s="2037"/>
      <c r="X46" s="2037"/>
      <c r="Y46" s="2037"/>
      <c r="Z46" s="2037"/>
      <c r="AA46" s="2037"/>
      <c r="AB46" s="2037"/>
      <c r="AC46" s="2038"/>
      <c r="AD46" s="2036" t="str">
        <f>INDEX(PT_DIFFERENTIATION_NTAR,MATCH(A46,PT_DIFFERENTIATION_NTAR_ID,0))</f>
        <v/>
      </c>
      <c r="AE46" s="2037"/>
      <c r="AF46" s="2037"/>
      <c r="AG46" s="2037"/>
      <c r="AH46" s="2037"/>
      <c r="AI46" s="2037"/>
      <c r="AJ46" s="2037"/>
      <c r="AK46" s="2037"/>
      <c r="AL46" s="2037"/>
      <c r="AM46" s="2037"/>
      <c r="AN46" s="2037"/>
      <c r="AO46" s="2037"/>
      <c r="AP46" s="2037"/>
      <c r="AQ46" s="2037"/>
      <c r="AR46" s="2037"/>
      <c r="AS46" s="2037"/>
      <c r="AT46" s="2037"/>
      <c r="AU46" s="2037"/>
      <c r="AV46" s="2037"/>
      <c r="AW46" s="2037"/>
      <c r="AX46" s="2037"/>
      <c r="AY46" s="2037"/>
      <c r="AZ46" s="2037"/>
      <c r="BA46" s="2037"/>
      <c r="BB46" s="2038"/>
      <c r="BC46" s="11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6"/>
      <c r="BF46" s="426" t="str">
        <f t="shared" ref="BF46:BF52" si="3">IF(T46="","",T46)</f>
        <v>Наименование тарифа</v>
      </c>
      <c r="BG46" s="426"/>
      <c r="BH46" s="426"/>
    </row>
    <row r="47" spans="1:60" ht="21" customHeight="1">
      <c r="A47" s="1289" t="s">
        <v>258</v>
      </c>
      <c r="B47" s="1289" t="s">
        <v>259</v>
      </c>
      <c r="C47" s="1289"/>
      <c r="D47" s="1289"/>
      <c r="E47" s="2043"/>
      <c r="F47" s="2042">
        <v>1</v>
      </c>
      <c r="G47" s="1289"/>
      <c r="H47" s="1289"/>
      <c r="I47" s="1289"/>
      <c r="J47" s="1289"/>
      <c r="K47" s="1289"/>
      <c r="L47" s="1290"/>
      <c r="M47" s="1291"/>
      <c r="N47" s="1291"/>
      <c r="O47" s="1291"/>
      <c r="P47" s="1336"/>
      <c r="Q47" s="1337"/>
      <c r="R47" s="274"/>
      <c r="S47" s="1413" t="str">
        <f>INDEX(PT_DIFFERENTIATION_NUM_TER,MATCH(B47,PT_DIFFERENTIATION_TER_ID,0))</f>
        <v>.</v>
      </c>
      <c r="T47" s="224" t="s">
        <v>472</v>
      </c>
      <c r="U47" s="214"/>
      <c r="V47" s="2037"/>
      <c r="W47" s="2037"/>
      <c r="X47" s="2037"/>
      <c r="Y47" s="2037"/>
      <c r="Z47" s="2037"/>
      <c r="AA47" s="2037"/>
      <c r="AB47" s="2037"/>
      <c r="AC47" s="2038"/>
      <c r="AD47" s="2036" t="str">
        <f>INDEX(PT_DIFFERENTIATION_TER,MATCH(B47,PT_DIFFERENTIATION_TER_ID,0))</f>
        <v/>
      </c>
      <c r="AE47" s="2037"/>
      <c r="AF47" s="2037"/>
      <c r="AG47" s="2037"/>
      <c r="AH47" s="2037"/>
      <c r="AI47" s="2037"/>
      <c r="AJ47" s="2037"/>
      <c r="AK47" s="2037"/>
      <c r="AL47" s="2037"/>
      <c r="AM47" s="2037"/>
      <c r="AN47" s="2037"/>
      <c r="AO47" s="2037"/>
      <c r="AP47" s="2037"/>
      <c r="AQ47" s="2037"/>
      <c r="AR47" s="2037"/>
      <c r="AS47" s="2037"/>
      <c r="AT47" s="2037"/>
      <c r="AU47" s="2037"/>
      <c r="AV47" s="2037"/>
      <c r="AW47" s="2037"/>
      <c r="AX47" s="2037"/>
      <c r="AY47" s="2037"/>
      <c r="AZ47" s="2037"/>
      <c r="BA47" s="2037"/>
      <c r="BB47" s="2038"/>
      <c r="BC47" s="1187" t="s">
        <v>473</v>
      </c>
      <c r="BE47" s="426"/>
      <c r="BF47" s="426" t="str">
        <f t="shared" si="3"/>
        <v>Территория действия тарифа</v>
      </c>
      <c r="BG47" s="426"/>
      <c r="BH47" s="426"/>
    </row>
    <row r="48" spans="1:60" ht="33.75" customHeight="1">
      <c r="A48" s="1289" t="s">
        <v>258</v>
      </c>
      <c r="B48" s="1289" t="s">
        <v>259</v>
      </c>
      <c r="C48" s="1289" t="s">
        <v>260</v>
      </c>
      <c r="D48" s="1289"/>
      <c r="E48" s="2043"/>
      <c r="F48" s="2043"/>
      <c r="G48" s="2042">
        <v>1</v>
      </c>
      <c r="H48" s="1289"/>
      <c r="I48" s="1289"/>
      <c r="J48" s="1289"/>
      <c r="K48" s="1289"/>
      <c r="L48" s="1290"/>
      <c r="M48" s="1291"/>
      <c r="N48" s="1291"/>
      <c r="O48" s="1291"/>
      <c r="P48" s="1338"/>
      <c r="Q48" s="1337"/>
      <c r="R48" s="274"/>
      <c r="S48" s="1413" t="str">
        <f>INDEX(PT_DIFFERENTIATION_NUM_CS,MATCH(C48,PT_DIFFERENTIATION_CS_ID,0))</f>
        <v>..</v>
      </c>
      <c r="T48" s="225" t="s">
        <v>2109</v>
      </c>
      <c r="U48" s="214"/>
      <c r="V48" s="2037"/>
      <c r="W48" s="2037"/>
      <c r="X48" s="2037"/>
      <c r="Y48" s="2037"/>
      <c r="Z48" s="2037"/>
      <c r="AA48" s="2037"/>
      <c r="AB48" s="2037"/>
      <c r="AC48" s="2038"/>
      <c r="AD48" s="2036" t="str">
        <f>INDEX(PT_DIFFERENTIATION_CS,MATCH(C48,PT_DIFFERENTIATION_CS_ID,0))</f>
        <v/>
      </c>
      <c r="AE48" s="2037"/>
      <c r="AF48" s="2037"/>
      <c r="AG48" s="2037"/>
      <c r="AH48" s="2037"/>
      <c r="AI48" s="2037"/>
      <c r="AJ48" s="2037"/>
      <c r="AK48" s="2037"/>
      <c r="AL48" s="2037"/>
      <c r="AM48" s="2037"/>
      <c r="AN48" s="2037"/>
      <c r="AO48" s="2037"/>
      <c r="AP48" s="2037"/>
      <c r="AQ48" s="2037"/>
      <c r="AR48" s="2037"/>
      <c r="AS48" s="2037"/>
      <c r="AT48" s="2037"/>
      <c r="AU48" s="2037"/>
      <c r="AV48" s="2037"/>
      <c r="AW48" s="2037"/>
      <c r="AX48" s="2037"/>
      <c r="AY48" s="2037"/>
      <c r="AZ48" s="2037"/>
      <c r="BA48" s="2037"/>
      <c r="BB48" s="2038"/>
      <c r="BC48" s="1187" t="s">
        <v>2110</v>
      </c>
      <c r="BE48" s="426"/>
      <c r="BF48" s="426" t="str">
        <f t="shared" si="3"/>
        <v>Наименование централизованной системы водоотведения</v>
      </c>
      <c r="BG48" s="426"/>
      <c r="BH48" s="426"/>
    </row>
    <row r="49" spans="1:60" s="1567" customFormat="1" ht="0" hidden="1" customHeight="1">
      <c r="A49" s="1270" t="s">
        <v>258</v>
      </c>
      <c r="B49" s="1270" t="s">
        <v>259</v>
      </c>
      <c r="C49" s="1270" t="s">
        <v>260</v>
      </c>
      <c r="D49" s="1270" t="s">
        <v>2124</v>
      </c>
      <c r="E49" s="2043"/>
      <c r="F49" s="2043"/>
      <c r="G49" s="2043"/>
      <c r="H49" s="2042">
        <v>1</v>
      </c>
      <c r="I49" s="1270"/>
      <c r="J49" s="1270"/>
      <c r="K49" s="1270"/>
      <c r="L49" s="1273"/>
      <c r="M49" s="1243"/>
      <c r="N49" s="1243"/>
      <c r="O49" s="1243"/>
      <c r="P49" s="1417"/>
      <c r="Q49" s="1418"/>
      <c r="R49" s="278"/>
      <c r="S49" s="958"/>
      <c r="T49" s="1419"/>
      <c r="U49" s="1310"/>
      <c r="V49" s="2072"/>
      <c r="W49" s="2072"/>
      <c r="X49" s="2072"/>
      <c r="Y49" s="2072"/>
      <c r="Z49" s="2072"/>
      <c r="AA49" s="2072"/>
      <c r="AB49" s="2072"/>
      <c r="AC49" s="2073"/>
      <c r="AD49" s="2071"/>
      <c r="AE49" s="2072"/>
      <c r="AF49" s="2072"/>
      <c r="AG49" s="2072"/>
      <c r="AH49" s="2072"/>
      <c r="AI49" s="2072"/>
      <c r="AJ49" s="2072"/>
      <c r="AK49" s="2072"/>
      <c r="AL49" s="2072"/>
      <c r="AM49" s="2072"/>
      <c r="AN49" s="2072"/>
      <c r="AO49" s="2072"/>
      <c r="AP49" s="2072"/>
      <c r="AQ49" s="2072"/>
      <c r="AR49" s="2072"/>
      <c r="AS49" s="2072"/>
      <c r="AT49" s="2072"/>
      <c r="AU49" s="2072"/>
      <c r="AV49" s="2072"/>
      <c r="AW49" s="2072"/>
      <c r="AX49" s="2072"/>
      <c r="AY49" s="2072"/>
      <c r="AZ49" s="2072"/>
      <c r="BA49" s="2072"/>
      <c r="BB49" s="2073"/>
      <c r="BC49" s="1311" t="s">
        <v>477</v>
      </c>
      <c r="BE49" s="426"/>
      <c r="BF49" s="426" t="str">
        <f t="shared" si="3"/>
        <v/>
      </c>
      <c r="BG49" s="426"/>
      <c r="BH49" s="426"/>
    </row>
    <row r="50" spans="1:60" s="1567" customFormat="1" ht="0" hidden="1" customHeight="1">
      <c r="A50" s="1270" t="s">
        <v>258</v>
      </c>
      <c r="B50" s="1270" t="s">
        <v>259</v>
      </c>
      <c r="C50" s="1270" t="s">
        <v>260</v>
      </c>
      <c r="D50" s="1270" t="s">
        <v>2124</v>
      </c>
      <c r="E50" s="2043"/>
      <c r="F50" s="2043"/>
      <c r="G50" s="2043"/>
      <c r="H50" s="2043"/>
      <c r="I50" s="2044" t="str">
        <f>S49&amp;".1"</f>
        <v>.1</v>
      </c>
      <c r="J50" s="1270"/>
      <c r="K50" s="1270"/>
      <c r="L50" s="1273" t="s">
        <v>478</v>
      </c>
      <c r="M50" s="436"/>
      <c r="N50" s="436"/>
      <c r="O50" s="436"/>
      <c r="P50" s="1961">
        <v>1</v>
      </c>
      <c r="Q50" s="1401"/>
      <c r="R50" s="277"/>
      <c r="S50" s="958"/>
      <c r="T50" s="1309"/>
      <c r="U50" s="1310"/>
      <c r="V50" s="2072"/>
      <c r="W50" s="2072"/>
      <c r="X50" s="2072"/>
      <c r="Y50" s="2072"/>
      <c r="Z50" s="2072"/>
      <c r="AA50" s="2072"/>
      <c r="AB50" s="2072"/>
      <c r="AC50" s="2073"/>
      <c r="AD50" s="2071"/>
      <c r="AE50" s="2072"/>
      <c r="AF50" s="2072"/>
      <c r="AG50" s="2072"/>
      <c r="AH50" s="2072"/>
      <c r="AI50" s="2072"/>
      <c r="AJ50" s="2072"/>
      <c r="AK50" s="2072"/>
      <c r="AL50" s="2072"/>
      <c r="AM50" s="2072"/>
      <c r="AN50" s="2072"/>
      <c r="AO50" s="2072"/>
      <c r="AP50" s="2072"/>
      <c r="AQ50" s="2072"/>
      <c r="AR50" s="2072"/>
      <c r="AS50" s="2072"/>
      <c r="AT50" s="2072"/>
      <c r="AU50" s="2072"/>
      <c r="AV50" s="2072"/>
      <c r="AW50" s="2072"/>
      <c r="AX50" s="2072"/>
      <c r="AY50" s="2072"/>
      <c r="AZ50" s="2072"/>
      <c r="BA50" s="2072"/>
      <c r="BB50" s="2073"/>
      <c r="BC50" s="1311"/>
      <c r="BE50" s="426"/>
      <c r="BF50" s="426" t="str">
        <f t="shared" si="3"/>
        <v/>
      </c>
      <c r="BG50" s="426"/>
      <c r="BH50" s="426"/>
    </row>
    <row r="51" spans="1:60" s="1567" customFormat="1" ht="0" hidden="1" customHeight="1">
      <c r="A51" s="1270" t="s">
        <v>258</v>
      </c>
      <c r="B51" s="1270" t="s">
        <v>259</v>
      </c>
      <c r="C51" s="1270" t="s">
        <v>260</v>
      </c>
      <c r="D51" s="1270" t="s">
        <v>2124</v>
      </c>
      <c r="E51" s="2043"/>
      <c r="F51" s="2043"/>
      <c r="G51" s="2043"/>
      <c r="H51" s="2043"/>
      <c r="I51" s="2045"/>
      <c r="J51" s="2044" t="str">
        <f>S49&amp;".1"</f>
        <v>.1</v>
      </c>
      <c r="K51" s="1270"/>
      <c r="L51" s="1273"/>
      <c r="M51" s="436"/>
      <c r="N51" s="436"/>
      <c r="O51" s="436"/>
      <c r="P51" s="1961"/>
      <c r="Q51" s="1961">
        <v>1</v>
      </c>
      <c r="R51" s="278"/>
      <c r="S51" s="958"/>
      <c r="T51" s="1325"/>
      <c r="U51" s="1310"/>
      <c r="V51" s="2072"/>
      <c r="W51" s="2072"/>
      <c r="X51" s="2072"/>
      <c r="Y51" s="2072"/>
      <c r="Z51" s="2072"/>
      <c r="AA51" s="2072"/>
      <c r="AB51" s="2072"/>
      <c r="AC51" s="2073"/>
      <c r="AD51" s="2071"/>
      <c r="AE51" s="2072"/>
      <c r="AF51" s="2072"/>
      <c r="AG51" s="2072"/>
      <c r="AH51" s="2072"/>
      <c r="AI51" s="2072"/>
      <c r="AJ51" s="2072"/>
      <c r="AK51" s="2072"/>
      <c r="AL51" s="2072"/>
      <c r="AM51" s="2072"/>
      <c r="AN51" s="2157"/>
      <c r="AO51" s="2157"/>
      <c r="AP51" s="2072"/>
      <c r="AQ51" s="2072"/>
      <c r="AR51" s="2072"/>
      <c r="AS51" s="2072"/>
      <c r="AT51" s="2072"/>
      <c r="AU51" s="2072"/>
      <c r="AV51" s="2072"/>
      <c r="AW51" s="2072"/>
      <c r="AX51" s="2072"/>
      <c r="AY51" s="2072"/>
      <c r="AZ51" s="2072"/>
      <c r="BA51" s="2072"/>
      <c r="BB51" s="2073"/>
      <c r="BC51" s="1311"/>
      <c r="BE51" s="426"/>
      <c r="BF51" s="426" t="str">
        <f t="shared" si="3"/>
        <v/>
      </c>
      <c r="BG51" s="426"/>
      <c r="BH51" s="426"/>
    </row>
    <row r="52" spans="1:60" ht="11.25" customHeight="1">
      <c r="A52" s="1289" t="s">
        <v>258</v>
      </c>
      <c r="B52" s="1289" t="s">
        <v>259</v>
      </c>
      <c r="C52" s="1289" t="s">
        <v>260</v>
      </c>
      <c r="D52" s="1289" t="s">
        <v>2124</v>
      </c>
      <c r="E52" s="2043"/>
      <c r="F52" s="2043"/>
      <c r="G52" s="2043"/>
      <c r="H52" s="2043"/>
      <c r="I52" s="2045"/>
      <c r="J52" s="2045"/>
      <c r="K52" s="2044" t="str">
        <f>S48&amp;".1"</f>
        <v>...1</v>
      </c>
      <c r="L52" s="1290"/>
      <c r="P52" s="1961"/>
      <c r="Q52" s="1961"/>
      <c r="R52" s="278">
        <v>1</v>
      </c>
      <c r="S52" s="2092" t="str">
        <f>$K52</f>
        <v>...1</v>
      </c>
      <c r="T52" s="2151"/>
      <c r="U52" s="214"/>
      <c r="V52" s="669"/>
      <c r="W52" s="1186"/>
      <c r="X52" s="669"/>
      <c r="Y52" s="1186"/>
      <c r="Z52" s="1658"/>
      <c r="AA52" s="1390" t="s">
        <v>58</v>
      </c>
      <c r="AB52" s="1658"/>
      <c r="AC52" s="1390" t="s">
        <v>58</v>
      </c>
      <c r="AD52" s="1907" t="s">
        <v>58</v>
      </c>
      <c r="AE52" s="2088"/>
      <c r="AF52" s="1920">
        <v>1</v>
      </c>
      <c r="AG52" s="2150"/>
      <c r="AH52" s="1850" t="s">
        <v>58</v>
      </c>
      <c r="AI52" s="2088"/>
      <c r="AJ52" s="1920">
        <v>1</v>
      </c>
      <c r="AK52" s="2149" t="s">
        <v>18</v>
      </c>
      <c r="AL52" s="1850" t="s">
        <v>58</v>
      </c>
      <c r="AM52" s="1895"/>
      <c r="AN52" s="1920">
        <v>1</v>
      </c>
      <c r="AO52" s="2154"/>
      <c r="AP52" s="2155" t="s">
        <v>58</v>
      </c>
      <c r="AQ52" s="227"/>
      <c r="AR52" s="1406">
        <v>1</v>
      </c>
      <c r="AS52" s="1412" t="s">
        <v>18</v>
      </c>
      <c r="AT52" s="669"/>
      <c r="AU52" s="1186"/>
      <c r="AV52" s="669"/>
      <c r="AW52" s="1186"/>
      <c r="AX52" s="1658"/>
      <c r="AY52" s="1390" t="s">
        <v>58</v>
      </c>
      <c r="AZ52" s="1658"/>
      <c r="BA52" s="1390" t="s">
        <v>58</v>
      </c>
      <c r="BB52" s="1275"/>
      <c r="BC52" s="2064" t="s">
        <v>1707</v>
      </c>
      <c r="BE52" s="426"/>
      <c r="BF52" s="426" t="str">
        <f t="shared" si="3"/>
        <v/>
      </c>
      <c r="BG52" s="426"/>
      <c r="BH52" s="426"/>
    </row>
    <row r="53" spans="1:60" ht="11.25" customHeight="1">
      <c r="A53" s="1289"/>
      <c r="B53" s="1289"/>
      <c r="C53" s="1289"/>
      <c r="D53" s="1289"/>
      <c r="E53" s="2043"/>
      <c r="F53" s="2043"/>
      <c r="G53" s="2043"/>
      <c r="H53" s="2043"/>
      <c r="I53" s="2045"/>
      <c r="J53" s="2045"/>
      <c r="K53" s="2044"/>
      <c r="L53" s="1290"/>
      <c r="P53" s="1961"/>
      <c r="Q53" s="1961"/>
      <c r="R53" s="278"/>
      <c r="S53" s="2093"/>
      <c r="T53" s="2152"/>
      <c r="U53" s="214"/>
      <c r="V53" s="1319"/>
      <c r="W53" s="1416"/>
      <c r="X53" s="1319"/>
      <c r="Y53" s="1416"/>
      <c r="Z53" s="1319"/>
      <c r="AA53" s="1319"/>
      <c r="AB53" s="1319"/>
      <c r="AC53" s="1319"/>
      <c r="AD53" s="1908"/>
      <c r="AE53" s="2088"/>
      <c r="AF53" s="1920"/>
      <c r="AG53" s="2150"/>
      <c r="AH53" s="1850"/>
      <c r="AI53" s="2088"/>
      <c r="AJ53" s="1920"/>
      <c r="AK53" s="2149"/>
      <c r="AL53" s="1850"/>
      <c r="AM53" s="1900"/>
      <c r="AN53" s="1920"/>
      <c r="AO53" s="2154"/>
      <c r="AP53" s="2156"/>
      <c r="AQ53" s="234"/>
      <c r="AR53" s="346"/>
      <c r="AS53" s="346" t="s">
        <v>1708</v>
      </c>
      <c r="AT53" s="1319"/>
      <c r="AU53" s="1416"/>
      <c r="AV53" s="1319"/>
      <c r="AW53" s="1416"/>
      <c r="AX53" s="1319"/>
      <c r="AY53" s="1319"/>
      <c r="AZ53" s="1319"/>
      <c r="BA53" s="1319"/>
      <c r="BB53" s="1323"/>
      <c r="BC53" s="2065"/>
      <c r="BE53" s="426"/>
      <c r="BF53" s="426"/>
      <c r="BG53" s="426"/>
      <c r="BH53" s="426"/>
    </row>
    <row r="54" spans="1:60" ht="11.25" customHeight="1">
      <c r="A54" s="1289" t="s">
        <v>258</v>
      </c>
      <c r="B54" s="1289"/>
      <c r="C54" s="1289"/>
      <c r="D54" s="1289"/>
      <c r="E54" s="2043"/>
      <c r="F54" s="2043"/>
      <c r="G54" s="2043"/>
      <c r="H54" s="2043"/>
      <c r="I54" s="2045"/>
      <c r="J54" s="2045"/>
      <c r="K54" s="2044"/>
      <c r="L54" s="1290"/>
      <c r="P54" s="1961"/>
      <c r="Q54" s="1961"/>
      <c r="R54" s="278"/>
      <c r="S54" s="2093"/>
      <c r="T54" s="2152"/>
      <c r="U54" s="214"/>
      <c r="V54" s="1319"/>
      <c r="W54" s="1416"/>
      <c r="X54" s="1319"/>
      <c r="Y54" s="1416"/>
      <c r="Z54" s="1319"/>
      <c r="AA54" s="1319"/>
      <c r="AB54" s="1319"/>
      <c r="AC54" s="1319"/>
      <c r="AD54" s="1908"/>
      <c r="AE54" s="2088"/>
      <c r="AF54" s="1920"/>
      <c r="AG54" s="2150"/>
      <c r="AH54" s="1850"/>
      <c r="AI54" s="2088"/>
      <c r="AJ54" s="1920"/>
      <c r="AK54" s="2149"/>
      <c r="AL54" s="1850"/>
      <c r="AM54" s="234"/>
      <c r="AN54" s="1420"/>
      <c r="AO54" s="1420" t="s">
        <v>2117</v>
      </c>
      <c r="AP54" s="346"/>
      <c r="AQ54" s="346"/>
      <c r="AR54" s="346"/>
      <c r="AS54" s="1319"/>
      <c r="AT54" s="1319"/>
      <c r="AU54" s="1416"/>
      <c r="AV54" s="1319"/>
      <c r="AW54" s="1416"/>
      <c r="AX54" s="1319"/>
      <c r="AY54" s="1319"/>
      <c r="AZ54" s="1319"/>
      <c r="BA54" s="1319"/>
      <c r="BB54" s="1323"/>
      <c r="BC54" s="2065"/>
      <c r="BE54" s="426"/>
      <c r="BF54" s="426"/>
      <c r="BG54" s="426"/>
      <c r="BH54" s="426"/>
    </row>
    <row r="55" spans="1:60" ht="11.25" customHeight="1">
      <c r="A55" s="1289" t="s">
        <v>258</v>
      </c>
      <c r="B55" s="1289"/>
      <c r="C55" s="1289"/>
      <c r="D55" s="1289"/>
      <c r="E55" s="2043"/>
      <c r="F55" s="2043"/>
      <c r="G55" s="2043"/>
      <c r="H55" s="2043"/>
      <c r="I55" s="2045"/>
      <c r="J55" s="2045"/>
      <c r="K55" s="2044"/>
      <c r="L55" s="1290"/>
      <c r="P55" s="1961"/>
      <c r="Q55" s="1961"/>
      <c r="R55" s="278"/>
      <c r="S55" s="2093"/>
      <c r="T55" s="2152"/>
      <c r="U55" s="214"/>
      <c r="V55" s="1319"/>
      <c r="W55" s="1416"/>
      <c r="X55" s="1319"/>
      <c r="Y55" s="1416"/>
      <c r="Z55" s="1319"/>
      <c r="AA55" s="1319"/>
      <c r="AB55" s="1319"/>
      <c r="AC55" s="1319"/>
      <c r="AD55" s="1908"/>
      <c r="AE55" s="2088"/>
      <c r="AF55" s="1920"/>
      <c r="AG55" s="2150"/>
      <c r="AH55" s="1850"/>
      <c r="AI55" s="208"/>
      <c r="AJ55" s="345"/>
      <c r="AK55" s="229" t="s">
        <v>2118</v>
      </c>
      <c r="AL55" s="1319"/>
      <c r="AM55" s="1319"/>
      <c r="AN55" s="1319"/>
      <c r="AO55" s="1319"/>
      <c r="AP55" s="1319"/>
      <c r="AQ55" s="1319"/>
      <c r="AR55" s="1319"/>
      <c r="AS55" s="1319"/>
      <c r="AT55" s="1319"/>
      <c r="AU55" s="1416"/>
      <c r="AV55" s="1319"/>
      <c r="AW55" s="1416"/>
      <c r="AX55" s="1319"/>
      <c r="AY55" s="1319"/>
      <c r="AZ55" s="1319"/>
      <c r="BA55" s="1319"/>
      <c r="BB55" s="1323"/>
      <c r="BC55" s="2065"/>
      <c r="BE55" s="426"/>
      <c r="BF55" s="426"/>
      <c r="BG55" s="426"/>
      <c r="BH55" s="426"/>
    </row>
    <row r="56" spans="1:60" ht="11.25" customHeight="1">
      <c r="A56" s="1289" t="s">
        <v>258</v>
      </c>
      <c r="B56" s="1289" t="s">
        <v>259</v>
      </c>
      <c r="C56" s="1289" t="s">
        <v>260</v>
      </c>
      <c r="D56" s="1289" t="s">
        <v>2124</v>
      </c>
      <c r="E56" s="2043"/>
      <c r="F56" s="2043"/>
      <c r="G56" s="2043"/>
      <c r="H56" s="2043"/>
      <c r="I56" s="2045"/>
      <c r="J56" s="2045"/>
      <c r="K56" s="2044"/>
      <c r="L56" s="1290"/>
      <c r="P56" s="1961"/>
      <c r="Q56" s="1961"/>
      <c r="R56" s="278"/>
      <c r="S56" s="2094"/>
      <c r="T56" s="2153"/>
      <c r="U56" s="214"/>
      <c r="V56" s="1319"/>
      <c r="W56" s="1320" t="str">
        <f>Z52&amp;"-"&amp;AB52</f>
        <v>-</v>
      </c>
      <c r="X56" s="1319"/>
      <c r="Y56" s="1320" t="str">
        <f>AB52&amp;"-"&amp;AD52</f>
        <v>-да</v>
      </c>
      <c r="Z56" s="1319"/>
      <c r="AA56" s="1319"/>
      <c r="AB56" s="1319"/>
      <c r="AC56" s="1319"/>
      <c r="AD56" s="1855"/>
      <c r="AE56" s="228"/>
      <c r="AF56" s="230"/>
      <c r="AG56" s="346" t="s">
        <v>1711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065"/>
      <c r="BE56" s="426"/>
      <c r="BF56" s="426" t="str">
        <f t="shared" ref="BF56:BF63" si="4">IF(T56="","",T56)</f>
        <v/>
      </c>
      <c r="BG56" s="426"/>
      <c r="BH56" s="426"/>
    </row>
    <row r="57" spans="1:60" ht="11.25" customHeight="1">
      <c r="A57" s="1289" t="s">
        <v>258</v>
      </c>
      <c r="B57" s="1289" t="s">
        <v>259</v>
      </c>
      <c r="C57" s="1289" t="s">
        <v>260</v>
      </c>
      <c r="D57" s="1289" t="s">
        <v>2124</v>
      </c>
      <c r="E57" s="2043"/>
      <c r="F57" s="2043"/>
      <c r="G57" s="2043"/>
      <c r="H57" s="2043"/>
      <c r="I57" s="2045"/>
      <c r="J57" s="2044"/>
      <c r="K57" s="1289"/>
      <c r="L57" s="1290"/>
      <c r="P57" s="1961"/>
      <c r="Q57" s="1961"/>
      <c r="R57" s="277"/>
      <c r="S57" s="1208"/>
      <c r="T57" s="202" t="s">
        <v>552</v>
      </c>
      <c r="U57" s="291"/>
      <c r="V57" s="291"/>
      <c r="W57" s="291"/>
      <c r="X57" s="291"/>
      <c r="Y57" s="291"/>
      <c r="Z57" s="291"/>
      <c r="AA57" s="291"/>
      <c r="AB57" s="291"/>
      <c r="AC57" s="245"/>
      <c r="AD57" s="1425"/>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2066"/>
      <c r="BE57" s="426"/>
      <c r="BF57" s="426" t="str">
        <f t="shared" si="4"/>
        <v>Добавить строку</v>
      </c>
      <c r="BG57" s="426"/>
      <c r="BH57" s="426"/>
    </row>
    <row r="58" spans="1:60" s="1567" customFormat="1" ht="0" hidden="1" customHeight="1">
      <c r="A58" s="1270" t="s">
        <v>258</v>
      </c>
      <c r="B58" s="1270" t="s">
        <v>259</v>
      </c>
      <c r="C58" s="1270" t="s">
        <v>260</v>
      </c>
      <c r="D58" s="1270" t="s">
        <v>2124</v>
      </c>
      <c r="E58" s="2043"/>
      <c r="F58" s="2043"/>
      <c r="G58" s="2043"/>
      <c r="H58" s="2043"/>
      <c r="I58" s="2044"/>
      <c r="J58" s="1270"/>
      <c r="K58" s="1270"/>
      <c r="L58" s="1273"/>
      <c r="M58" s="436"/>
      <c r="N58" s="436"/>
      <c r="O58" s="436"/>
      <c r="P58" s="1961"/>
      <c r="Q58" s="1401"/>
      <c r="R58" s="277"/>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26"/>
      <c r="BF58" s="426" t="str">
        <f t="shared" si="4"/>
        <v/>
      </c>
      <c r="BG58" s="426"/>
      <c r="BH58" s="426"/>
    </row>
    <row r="59" spans="1:60" s="1567" customFormat="1" ht="0" hidden="1" customHeight="1">
      <c r="A59" s="1270" t="s">
        <v>258</v>
      </c>
      <c r="B59" s="1270" t="s">
        <v>259</v>
      </c>
      <c r="C59" s="1270" t="s">
        <v>260</v>
      </c>
      <c r="D59" s="1270" t="s">
        <v>2124</v>
      </c>
      <c r="E59" s="2043"/>
      <c r="F59" s="2043"/>
      <c r="G59" s="2043"/>
      <c r="H59" s="2042"/>
      <c r="I59" s="1270"/>
      <c r="J59" s="1270"/>
      <c r="K59" s="1270"/>
      <c r="L59" s="1273"/>
      <c r="M59" s="1243"/>
      <c r="N59" s="1243"/>
      <c r="O59" s="444"/>
      <c r="P59" s="308"/>
      <c r="Q59" s="1271"/>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26"/>
      <c r="BF59" s="426" t="str">
        <f t="shared" si="4"/>
        <v/>
      </c>
      <c r="BG59" s="426"/>
      <c r="BH59" s="426"/>
    </row>
    <row r="60" spans="1:60" s="1567" customFormat="1" ht="0" hidden="1" customHeight="1">
      <c r="A60" s="1270" t="s">
        <v>258</v>
      </c>
      <c r="B60" s="1270" t="s">
        <v>259</v>
      </c>
      <c r="C60" s="1270" t="s">
        <v>260</v>
      </c>
      <c r="D60" s="1242"/>
      <c r="E60" s="2043"/>
      <c r="F60" s="2043"/>
      <c r="G60" s="2042"/>
      <c r="H60" s="1242"/>
      <c r="I60" s="1242"/>
      <c r="J60" s="1242"/>
      <c r="K60" s="1242"/>
      <c r="L60" s="1414"/>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07"/>
      <c r="BF60" s="707" t="str">
        <f t="shared" si="4"/>
        <v/>
      </c>
      <c r="BG60" s="707"/>
      <c r="BH60" s="707"/>
    </row>
    <row r="61" spans="1:60" s="1567" customFormat="1" ht="0" hidden="1" customHeight="1">
      <c r="A61" s="1270" t="s">
        <v>258</v>
      </c>
      <c r="B61" s="1270" t="s">
        <v>259</v>
      </c>
      <c r="C61" s="1242"/>
      <c r="D61" s="1242"/>
      <c r="E61" s="2043"/>
      <c r="F61" s="2042"/>
      <c r="G61" s="1242"/>
      <c r="H61" s="1242"/>
      <c r="I61" s="1242"/>
      <c r="J61" s="1242"/>
      <c r="K61" s="1242"/>
      <c r="L61" s="1414"/>
      <c r="M61" s="1249"/>
      <c r="N61" s="1249"/>
      <c r="P61" s="1244"/>
      <c r="Q61" s="1245"/>
      <c r="R61" s="1244"/>
      <c r="S61" s="1250"/>
      <c r="T61" s="1253" t="s">
        <v>446</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07"/>
      <c r="BF61" s="707" t="str">
        <f t="shared" si="4"/>
        <v>Добавить централизованную систему для дифференциации</v>
      </c>
      <c r="BG61" s="707"/>
      <c r="BH61" s="707"/>
    </row>
    <row r="62" spans="1:60" s="1567" customFormat="1" ht="0" hidden="1" customHeight="1">
      <c r="A62" s="1270" t="s">
        <v>258</v>
      </c>
      <c r="B62" s="1270"/>
      <c r="C62" s="1270"/>
      <c r="D62" s="1270"/>
      <c r="E62" s="2042"/>
      <c r="F62" s="1270"/>
      <c r="G62" s="1270"/>
      <c r="H62" s="1270"/>
      <c r="I62" s="1270"/>
      <c r="J62" s="1270"/>
      <c r="K62" s="1270"/>
      <c r="L62" s="1273"/>
      <c r="M62" s="1249"/>
      <c r="N62" s="1249"/>
      <c r="O62" s="444"/>
      <c r="P62" s="308"/>
      <c r="Q62" s="1271"/>
      <c r="R62" s="308"/>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26"/>
      <c r="BF62" s="426" t="str">
        <f t="shared" si="4"/>
        <v>Добавить территорию для дифференциации</v>
      </c>
      <c r="BG62" s="426"/>
      <c r="BH62" s="426"/>
    </row>
    <row r="63" spans="1:60" s="1567" customFormat="1" ht="0" hidden="1" customHeight="1">
      <c r="A63" s="1242"/>
      <c r="B63" s="1242"/>
      <c r="C63" s="1242"/>
      <c r="D63" s="1242"/>
      <c r="E63" s="1270"/>
      <c r="F63" s="1242"/>
      <c r="G63" s="1242"/>
      <c r="H63" s="1242"/>
      <c r="I63" s="1242"/>
      <c r="J63" s="1242"/>
      <c r="K63" s="1242"/>
      <c r="L63" s="1414"/>
      <c r="M63" s="1249"/>
      <c r="N63" s="1249"/>
      <c r="P63" s="1244"/>
      <c r="Q63" s="1245"/>
      <c r="R63" s="1244"/>
      <c r="S63" s="1250"/>
      <c r="T63" s="1253" t="s">
        <v>448</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07"/>
      <c r="BF63" s="707" t="str">
        <f t="shared" si="4"/>
        <v>Добавить наименование тарифа</v>
      </c>
      <c r="BG63" s="707"/>
      <c r="BH63" s="707"/>
    </row>
    <row r="64" spans="1:60" ht="11.25" hidden="1" customHeight="1">
      <c r="M64" s="1070"/>
      <c r="N64" s="1070"/>
      <c r="O64" s="462"/>
      <c r="P64" s="1070"/>
      <c r="Q64" s="1070"/>
      <c r="R64" s="1065"/>
      <c r="S64" s="1065"/>
      <c r="BD64" s="1065"/>
      <c r="BE64" s="1065"/>
      <c r="BF64" s="1065"/>
      <c r="BG64" s="1065"/>
      <c r="BH64" s="1065"/>
    </row>
    <row r="65" spans="15:55" ht="14.25" hidden="1" customHeight="1">
      <c r="O65" s="462"/>
      <c r="S65" s="1174" t="s">
        <v>520</v>
      </c>
      <c r="T65" s="2041" t="s">
        <v>1722</v>
      </c>
      <c r="U65" s="2041"/>
      <c r="V65" s="2041"/>
      <c r="W65" s="2041"/>
      <c r="X65" s="2041"/>
      <c r="Y65" s="2041"/>
      <c r="Z65" s="2041"/>
      <c r="AA65" s="2041"/>
      <c r="AB65" s="2041"/>
      <c r="AC65" s="2041"/>
      <c r="AD65" s="2041"/>
      <c r="AE65" s="2041"/>
      <c r="AF65" s="2041"/>
      <c r="AG65" s="2041"/>
      <c r="AH65" s="2041"/>
      <c r="AI65" s="2041"/>
      <c r="AJ65" s="2041"/>
      <c r="AK65" s="2041"/>
      <c r="AL65" s="2041"/>
      <c r="AM65" s="2041"/>
      <c r="AN65" s="2041"/>
      <c r="AO65" s="2041"/>
      <c r="AP65" s="2041"/>
      <c r="AQ65" s="2041"/>
      <c r="AR65" s="2041"/>
      <c r="AS65" s="2041"/>
      <c r="AT65" s="2041"/>
      <c r="AU65" s="2041"/>
      <c r="AV65" s="2041"/>
      <c r="AW65" s="2041"/>
      <c r="AX65" s="2041"/>
      <c r="AY65" s="2041"/>
      <c r="AZ65" s="2041"/>
      <c r="BA65" s="2041"/>
      <c r="BB65" s="2041"/>
      <c r="BC65" s="2041"/>
    </row>
    <row r="66" spans="15:55" ht="14.25" hidden="1" customHeight="1">
      <c r="O66" s="462"/>
      <c r="T66" s="1400"/>
      <c r="U66" s="1400"/>
      <c r="V66" s="1400"/>
      <c r="W66" s="1400"/>
      <c r="X66" s="1400"/>
      <c r="Y66" s="1400"/>
      <c r="Z66" s="1400"/>
      <c r="AA66" s="1400"/>
      <c r="AB66" s="1400"/>
      <c r="AC66" s="1400"/>
      <c r="AD66" s="1400"/>
      <c r="AE66" s="1400"/>
      <c r="AF66" s="1400"/>
      <c r="AG66" s="1400"/>
      <c r="AH66" s="1400"/>
      <c r="AI66" s="1400"/>
      <c r="AJ66" s="1400"/>
      <c r="AK66" s="1400"/>
      <c r="AL66" s="1400"/>
      <c r="AM66" s="1400"/>
      <c r="AN66" s="1400"/>
      <c r="AO66" s="1400"/>
      <c r="AP66" s="1400"/>
      <c r="AQ66" s="1400"/>
      <c r="AR66" s="1400"/>
      <c r="AS66" s="1400"/>
      <c r="AT66" s="1400"/>
      <c r="AU66" s="1400"/>
      <c r="AV66" s="1400"/>
      <c r="AW66" s="1400"/>
      <c r="AX66" s="1400"/>
      <c r="AY66" s="1400"/>
      <c r="AZ66" s="1400"/>
      <c r="BA66" s="1400"/>
      <c r="BB66" s="1400"/>
      <c r="BC66" s="1400"/>
    </row>
    <row r="67" spans="15:55" ht="14.25" hidden="1" customHeight="1">
      <c r="O67" s="462"/>
      <c r="S67" s="1174" t="s">
        <v>520</v>
      </c>
      <c r="T67" s="2041" t="s">
        <v>1723</v>
      </c>
      <c r="U67" s="2041"/>
      <c r="V67" s="2041"/>
      <c r="W67" s="2041"/>
      <c r="X67" s="2041"/>
      <c r="Y67" s="2041"/>
      <c r="Z67" s="2041"/>
      <c r="AA67" s="2041"/>
      <c r="AB67" s="2041"/>
      <c r="AC67" s="2041"/>
      <c r="AD67" s="2041"/>
      <c r="AE67" s="2041"/>
      <c r="AF67" s="2041"/>
      <c r="AG67" s="2041"/>
      <c r="AH67" s="2041"/>
      <c r="AI67" s="2041"/>
      <c r="AJ67" s="2041"/>
      <c r="AK67" s="2041"/>
      <c r="AL67" s="2041"/>
      <c r="AM67" s="2041"/>
      <c r="AN67" s="2041"/>
      <c r="AO67" s="2041"/>
      <c r="AP67" s="2041"/>
      <c r="AQ67" s="2041"/>
      <c r="AR67" s="2041"/>
      <c r="AS67" s="2041"/>
      <c r="AT67" s="2041"/>
      <c r="AU67" s="2041"/>
      <c r="AV67" s="2041"/>
      <c r="AW67" s="2041"/>
      <c r="AX67" s="2041"/>
      <c r="AY67" s="2041"/>
      <c r="AZ67" s="2041"/>
      <c r="BA67" s="2041"/>
      <c r="BB67" s="2041"/>
      <c r="BC67" s="2041"/>
    </row>
    <row r="68" spans="15:55" ht="14.25" customHeight="1">
      <c r="O68" s="462"/>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796" hidden="1"/>
    <col min="3" max="4" width="3.69921875" style="1796" customWidth="1"/>
    <col min="5" max="6" width="16" style="1796" customWidth="1"/>
    <col min="7" max="7" width="11.59765625" style="1796" customWidth="1"/>
    <col min="8" max="9" width="3.69921875" style="1796" customWidth="1"/>
    <col min="10" max="10" width="13.09765625" style="1796" customWidth="1"/>
    <col min="11" max="11" width="0.296875" style="1796" customWidth="1"/>
    <col min="12" max="13" width="10.69921875" style="1796" customWidth="1"/>
    <col min="14" max="15" width="3.69921875" style="1796" customWidth="1"/>
    <col min="16" max="16" width="19.69921875" style="1796" customWidth="1"/>
    <col min="17" max="17" width="0.296875" style="1796" customWidth="1"/>
    <col min="18" max="19" width="10.69921875" style="1796" customWidth="1"/>
    <col min="20" max="21" width="3.69921875" style="1796" customWidth="1"/>
    <col min="22" max="22" width="25.69921875" style="1796" customWidth="1"/>
    <col min="23" max="23" width="0.296875" style="1796" customWidth="1"/>
    <col min="24" max="25" width="10.69921875" style="1796" customWidth="1"/>
    <col min="26" max="27" width="3.69921875" style="1796" customWidth="1"/>
    <col min="28" max="28" width="16.3984375" style="1796" customWidth="1"/>
    <col min="29" max="29" width="0.296875" style="1796" customWidth="1"/>
    <col min="30" max="31" width="10.69921875" style="1796" customWidth="1"/>
    <col min="32" max="33" width="3.69921875" style="1796" customWidth="1"/>
    <col min="34" max="34" width="8.69921875" style="1796" customWidth="1"/>
    <col min="35" max="35" width="21.69921875" style="1796" customWidth="1"/>
    <col min="36" max="36" width="9.09765625" style="1796"/>
    <col min="37" max="37" width="9.09765625" style="298"/>
    <col min="38" max="64" width="9.09765625" style="1796"/>
  </cols>
  <sheetData>
    <row r="1" spans="1:64" s="1244" customFormat="1" ht="11.25" hidden="1" customHeight="1">
      <c r="AJ1" s="351"/>
      <c r="AK1" s="351"/>
      <c r="AL1" s="351"/>
      <c r="AM1" s="351"/>
      <c r="AN1" s="351"/>
      <c r="AO1" s="351"/>
      <c r="AP1" s="351"/>
      <c r="AQ1" s="351"/>
      <c r="AR1" s="351"/>
      <c r="AS1" s="351"/>
      <c r="AT1" s="351"/>
      <c r="AU1" s="351"/>
      <c r="AV1" s="351"/>
      <c r="AW1" s="351"/>
      <c r="AX1" s="351"/>
      <c r="AY1" s="351"/>
      <c r="AZ1" s="351"/>
      <c r="BA1" s="351"/>
      <c r="BB1" s="351"/>
      <c r="BC1" s="351"/>
      <c r="BD1" s="351"/>
      <c r="BE1" s="351"/>
      <c r="BF1" s="351"/>
      <c r="BG1" s="351"/>
      <c r="BH1" s="351"/>
      <c r="BI1" s="351"/>
      <c r="BJ1" s="351"/>
      <c r="BK1" s="351"/>
      <c r="BL1" s="351"/>
    </row>
    <row r="2" spans="1:64" s="1483" customFormat="1" ht="11.25" hidden="1" customHeight="1">
      <c r="L2" s="1483" t="s">
        <v>261</v>
      </c>
      <c r="M2" s="1483" t="s">
        <v>262</v>
      </c>
      <c r="R2" s="1483" t="s">
        <v>263</v>
      </c>
      <c r="S2" s="1483" t="s">
        <v>262</v>
      </c>
      <c r="X2" s="1483" t="s">
        <v>261</v>
      </c>
      <c r="Y2" s="1483" t="s">
        <v>262</v>
      </c>
      <c r="AD2" s="1483" t="s">
        <v>261</v>
      </c>
      <c r="AE2" s="1483" t="s">
        <v>262</v>
      </c>
      <c r="AJ2" s="1504"/>
      <c r="AK2" s="1504"/>
      <c r="AL2" s="1504"/>
      <c r="AM2" s="1504"/>
      <c r="AN2" s="1504"/>
      <c r="AO2" s="1504"/>
      <c r="AP2" s="1504"/>
      <c r="AQ2" s="1504"/>
      <c r="AR2" s="1504"/>
      <c r="AS2" s="1504"/>
      <c r="AT2" s="1504"/>
      <c r="AU2" s="1504"/>
      <c r="AV2" s="1504"/>
      <c r="AW2" s="1504"/>
      <c r="AX2" s="1504"/>
      <c r="AY2" s="1504"/>
      <c r="AZ2" s="1504"/>
      <c r="BA2" s="1504"/>
      <c r="BB2" s="1504"/>
      <c r="BC2" s="1504"/>
      <c r="BD2" s="1504"/>
      <c r="BE2" s="1504"/>
      <c r="BF2" s="1504"/>
      <c r="BG2" s="1504"/>
      <c r="BH2" s="1504"/>
      <c r="BI2" s="1504"/>
      <c r="BJ2" s="1504"/>
      <c r="BK2" s="1504"/>
      <c r="BL2" s="1504"/>
    </row>
    <row r="3" spans="1:64" s="1484" customFormat="1" ht="11.25" customHeight="1">
      <c r="AJ3"/>
      <c r="AK3" s="221"/>
      <c r="AL3"/>
      <c r="AM3"/>
      <c r="AN3"/>
      <c r="AO3"/>
      <c r="AP3"/>
      <c r="AQ3"/>
      <c r="AR3"/>
      <c r="AS3"/>
      <c r="AT3"/>
      <c r="AU3"/>
      <c r="AV3"/>
      <c r="AW3"/>
      <c r="AX3"/>
      <c r="AY3"/>
      <c r="AZ3"/>
      <c r="BA3"/>
      <c r="BB3"/>
      <c r="BC3"/>
      <c r="BD3"/>
      <c r="BE3"/>
      <c r="BF3"/>
      <c r="BG3"/>
      <c r="BH3"/>
      <c r="BI3"/>
      <c r="BJ3"/>
      <c r="BK3"/>
      <c r="BL3"/>
    </row>
    <row r="4" spans="1:64" s="1748" customFormat="1" ht="33" customHeight="1">
      <c r="A4" s="1066"/>
      <c r="B4" s="1065"/>
      <c r="C4" s="1435"/>
      <c r="D4" s="1893" t="s">
        <v>264</v>
      </c>
      <c r="E4" s="1893"/>
      <c r="F4" s="1893"/>
      <c r="G4" s="1893"/>
      <c r="H4" s="1893"/>
      <c r="I4" s="1893"/>
      <c r="J4" s="1893"/>
      <c r="K4" s="619"/>
      <c r="T4" s="1485"/>
      <c r="AJ4" s="1505"/>
      <c r="AK4" s="1506"/>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row>
    <row r="5" spans="1:64" s="1748" customFormat="1" ht="14.25" customHeight="1">
      <c r="A5" s="1557"/>
      <c r="B5" s="1556"/>
      <c r="C5" s="1435"/>
      <c r="D5" s="1916" t="str">
        <f>IF(org=0,"Не определено",org)</f>
        <v>НАО "СВЕЗА Мантурово"</v>
      </c>
      <c r="E5" s="1916"/>
      <c r="F5" s="1916"/>
      <c r="G5" s="1916"/>
      <c r="H5" s="1916"/>
      <c r="I5" s="1916"/>
      <c r="J5" s="1916"/>
      <c r="K5" s="619"/>
      <c r="T5" s="1485"/>
      <c r="AJ5" s="1505"/>
      <c r="AK5" s="1506"/>
      <c r="AL5" s="1505"/>
      <c r="AM5" s="1505"/>
      <c r="AN5" s="1505"/>
      <c r="AO5" s="1505"/>
      <c r="AP5" s="1505"/>
      <c r="AQ5" s="1505"/>
      <c r="AR5" s="1505"/>
      <c r="AS5" s="1505"/>
      <c r="AT5" s="1505"/>
      <c r="AU5" s="1505"/>
      <c r="AV5" s="1505"/>
      <c r="AW5" s="1505"/>
      <c r="AX5" s="1505"/>
      <c r="AY5" s="1505"/>
      <c r="AZ5" s="1505"/>
      <c r="BA5" s="1505"/>
      <c r="BB5" s="1505"/>
      <c r="BC5" s="1505"/>
      <c r="BD5" s="1505"/>
      <c r="BE5" s="1505"/>
      <c r="BF5" s="1505"/>
      <c r="BG5" s="1505"/>
      <c r="BH5" s="1505"/>
      <c r="BI5" s="1505"/>
      <c r="BJ5" s="1505"/>
      <c r="BK5" s="1505"/>
      <c r="BL5" s="1505"/>
    </row>
    <row r="6" spans="1:64" s="1748" customFormat="1" ht="14.25" customHeight="1">
      <c r="A6" s="1066"/>
      <c r="B6" s="1065"/>
      <c r="C6" s="1435"/>
      <c r="D6" s="619"/>
      <c r="E6" s="619"/>
      <c r="F6" s="619"/>
      <c r="G6" s="619"/>
      <c r="H6" s="619"/>
      <c r="I6" s="619"/>
      <c r="J6" s="619"/>
      <c r="K6" s="619"/>
      <c r="T6" s="1485"/>
      <c r="AJ6" s="1505"/>
      <c r="AK6" s="1506"/>
      <c r="AL6" s="1505"/>
      <c r="AM6" s="1505"/>
      <c r="AN6" s="1505"/>
      <c r="AO6" s="1505"/>
      <c r="AP6" s="1505"/>
      <c r="AQ6" s="1505"/>
      <c r="AR6" s="1505"/>
      <c r="AS6" s="1505"/>
      <c r="AT6" s="1505"/>
      <c r="AU6" s="1505"/>
      <c r="AV6" s="1505"/>
      <c r="AW6" s="1505"/>
      <c r="AX6" s="1505"/>
      <c r="AY6" s="1505"/>
      <c r="AZ6" s="1505"/>
      <c r="BA6" s="1505"/>
      <c r="BB6" s="1505"/>
      <c r="BC6" s="1505"/>
      <c r="BD6" s="1505"/>
      <c r="BE6" s="1505"/>
      <c r="BF6" s="1505"/>
      <c r="BG6" s="1505"/>
      <c r="BH6" s="1505"/>
      <c r="BI6" s="1505"/>
      <c r="BJ6" s="1505"/>
      <c r="BK6" s="1505"/>
      <c r="BL6" s="1505"/>
    </row>
    <row r="7" spans="1:64" s="1244" customFormat="1" ht="0.75" customHeight="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row>
    <row r="8" spans="1:64" ht="31.5" customHeight="1">
      <c r="D8" s="1840" t="s">
        <v>87</v>
      </c>
      <c r="E8" s="1840" t="s">
        <v>101</v>
      </c>
      <c r="F8" s="1895" t="s">
        <v>118</v>
      </c>
      <c r="G8" s="1896"/>
      <c r="H8" s="1895" t="s">
        <v>87</v>
      </c>
      <c r="I8" s="1896"/>
      <c r="J8" s="1840" t="s">
        <v>119</v>
      </c>
      <c r="K8" s="1486"/>
      <c r="L8" s="1894" t="s">
        <v>265</v>
      </c>
      <c r="M8" s="1894"/>
      <c r="N8" s="1894"/>
      <c r="O8" s="1894"/>
      <c r="P8" s="1894"/>
      <c r="Q8" s="1487"/>
      <c r="R8" s="1822" t="s">
        <v>266</v>
      </c>
      <c r="S8" s="1827"/>
      <c r="T8" s="1827"/>
      <c r="U8" s="1827"/>
      <c r="V8" s="1827"/>
      <c r="W8" s="1487"/>
      <c r="X8" s="1840" t="s">
        <v>267</v>
      </c>
      <c r="Y8" s="1840"/>
      <c r="Z8" s="1840"/>
      <c r="AA8" s="1840"/>
      <c r="AB8" s="1840"/>
      <c r="AC8" s="1488"/>
      <c r="AD8" s="1840" t="s">
        <v>268</v>
      </c>
      <c r="AE8" s="1840"/>
      <c r="AF8" s="1840"/>
      <c r="AG8" s="1840"/>
      <c r="AH8" s="1822"/>
      <c r="AI8" s="1840" t="s">
        <v>269</v>
      </c>
      <c r="AJ8"/>
    </row>
    <row r="9" spans="1:64" ht="22.5" customHeight="1">
      <c r="D9" s="1840"/>
      <c r="E9" s="1840"/>
      <c r="F9" s="1894" t="s">
        <v>88</v>
      </c>
      <c r="G9" s="1894" t="s">
        <v>124</v>
      </c>
      <c r="H9" s="1897"/>
      <c r="I9" s="1898"/>
      <c r="J9" s="1822"/>
      <c r="K9" s="1489"/>
      <c r="L9" s="1840" t="s">
        <v>270</v>
      </c>
      <c r="M9" s="1822"/>
      <c r="N9" s="1895" t="s">
        <v>87</v>
      </c>
      <c r="O9" s="1896"/>
      <c r="P9" s="1840" t="s">
        <v>125</v>
      </c>
      <c r="Q9" s="1486"/>
      <c r="R9" s="1840" t="s">
        <v>270</v>
      </c>
      <c r="S9" s="1822"/>
      <c r="T9" s="1895" t="s">
        <v>87</v>
      </c>
      <c r="U9" s="1896"/>
      <c r="V9" s="1840" t="s">
        <v>125</v>
      </c>
      <c r="W9" s="1486"/>
      <c r="X9" s="1840" t="s">
        <v>270</v>
      </c>
      <c r="Y9" s="1822"/>
      <c r="Z9" s="1895" t="s">
        <v>87</v>
      </c>
      <c r="AA9" s="1896"/>
      <c r="AB9" s="1840" t="s">
        <v>271</v>
      </c>
      <c r="AC9" s="1486"/>
      <c r="AD9" s="1840" t="s">
        <v>270</v>
      </c>
      <c r="AE9" s="1822"/>
      <c r="AF9" s="1895" t="s">
        <v>87</v>
      </c>
      <c r="AG9" s="1896"/>
      <c r="AH9" s="1822" t="s">
        <v>271</v>
      </c>
      <c r="AI9" s="1840"/>
      <c r="AJ9"/>
    </row>
    <row r="10" spans="1:64" ht="22.5" customHeight="1">
      <c r="D10" s="1894"/>
      <c r="E10" s="1894"/>
      <c r="F10" s="1899"/>
      <c r="G10" s="1899"/>
      <c r="H10" s="1900"/>
      <c r="I10" s="1901"/>
      <c r="J10" s="1895"/>
      <c r="K10" s="1489"/>
      <c r="L10" s="1507" t="s">
        <v>272</v>
      </c>
      <c r="M10" s="1503" t="s">
        <v>273</v>
      </c>
      <c r="N10" s="1897"/>
      <c r="O10" s="1898"/>
      <c r="P10" s="1894"/>
      <c r="Q10" s="1486"/>
      <c r="R10" s="1507" t="s">
        <v>272</v>
      </c>
      <c r="S10" s="1503" t="s">
        <v>273</v>
      </c>
      <c r="T10" s="1897"/>
      <c r="U10" s="1898"/>
      <c r="V10" s="1894"/>
      <c r="W10" s="1486"/>
      <c r="X10" s="1507" t="s">
        <v>272</v>
      </c>
      <c r="Y10" s="1503" t="s">
        <v>273</v>
      </c>
      <c r="Z10" s="1897"/>
      <c r="AA10" s="1898"/>
      <c r="AB10" s="1894"/>
      <c r="AC10" s="1486"/>
      <c r="AD10" s="1507" t="s">
        <v>272</v>
      </c>
      <c r="AE10" s="1503" t="s">
        <v>273</v>
      </c>
      <c r="AF10" s="1897"/>
      <c r="AG10" s="1898"/>
      <c r="AH10" s="1895"/>
      <c r="AI10" s="1894"/>
      <c r="AJ10"/>
      <c r="AK10" s="169" t="s">
        <v>274</v>
      </c>
      <c r="AL10" s="169" t="s">
        <v>126</v>
      </c>
    </row>
    <row r="11" spans="1:64" ht="14.25" customHeight="1">
      <c r="D11" s="1902" t="s">
        <v>105</v>
      </c>
      <c r="E11" s="1904" t="s">
        <v>275</v>
      </c>
      <c r="F11" s="1904" t="s">
        <v>276</v>
      </c>
      <c r="G11" s="1907" t="s">
        <v>56</v>
      </c>
      <c r="H11" s="1528"/>
      <c r="I11" s="1909"/>
      <c r="J11" s="1871"/>
      <c r="K11" s="1434"/>
      <c r="L11" s="1858"/>
      <c r="M11" s="1858"/>
      <c r="N11" s="1513"/>
      <c r="O11" s="1858"/>
      <c r="P11" s="1871"/>
      <c r="Q11" s="1514"/>
      <c r="R11" s="1858"/>
      <c r="S11" s="1858"/>
      <c r="T11" s="1515"/>
      <c r="U11" s="1858"/>
      <c r="V11" s="1871"/>
      <c r="W11" s="1516"/>
      <c r="X11" s="1858"/>
      <c r="Y11" s="1858"/>
      <c r="Z11" s="1513"/>
      <c r="AA11" s="1858"/>
      <c r="AB11" s="1871"/>
      <c r="AC11" s="1517"/>
      <c r="AD11" s="1858"/>
      <c r="AE11" s="1858"/>
      <c r="AF11" s="1433"/>
      <c r="AG11" s="1433"/>
      <c r="AH11" s="1518"/>
      <c r="AI11" s="1225"/>
      <c r="AJ11"/>
    </row>
    <row r="12" spans="1:64" ht="14.25" customHeight="1">
      <c r="D12" s="1902"/>
      <c r="E12" s="1904"/>
      <c r="F12" s="1904"/>
      <c r="G12" s="1908"/>
      <c r="H12" s="1529"/>
      <c r="I12" s="1910"/>
      <c r="J12" s="1872"/>
      <c r="K12" s="1536"/>
      <c r="L12" s="1859"/>
      <c r="M12" s="1859"/>
      <c r="N12" s="1519"/>
      <c r="O12" s="1859"/>
      <c r="P12" s="1872"/>
      <c r="Q12" s="1520"/>
      <c r="R12" s="1859"/>
      <c r="S12" s="1859"/>
      <c r="T12" s="1521"/>
      <c r="U12" s="1859"/>
      <c r="V12" s="1872"/>
      <c r="W12" s="1522"/>
      <c r="X12" s="1859"/>
      <c r="Y12" s="1859"/>
      <c r="Z12" s="1519"/>
      <c r="AA12" s="1859"/>
      <c r="AB12" s="1872"/>
      <c r="AC12" s="1523"/>
      <c r="AD12" s="1859"/>
      <c r="AE12" s="1859"/>
      <c r="AF12" s="1524"/>
      <c r="AG12" s="1524"/>
      <c r="AH12" s="1913"/>
      <c r="AI12" s="1914"/>
      <c r="AJ12"/>
    </row>
    <row r="13" spans="1:64" ht="14.25" customHeight="1">
      <c r="D13" s="1902"/>
      <c r="E13" s="1904"/>
      <c r="F13" s="1904"/>
      <c r="G13" s="1908"/>
      <c r="H13" s="1529"/>
      <c r="I13" s="1910"/>
      <c r="J13" s="1872"/>
      <c r="K13" s="1536"/>
      <c r="L13" s="1859"/>
      <c r="M13" s="1859"/>
      <c r="N13" s="1519"/>
      <c r="O13" s="1859"/>
      <c r="P13" s="1872"/>
      <c r="Q13" s="1520"/>
      <c r="R13" s="1859"/>
      <c r="S13" s="1859"/>
      <c r="T13" s="1521"/>
      <c r="U13" s="1859"/>
      <c r="V13" s="1872"/>
      <c r="W13" s="1522"/>
      <c r="X13" s="1859"/>
      <c r="Y13" s="1859"/>
      <c r="Z13" s="1432"/>
      <c r="AA13" s="1524"/>
      <c r="AB13" s="1913"/>
      <c r="AC13" s="1913"/>
      <c r="AD13" s="1913"/>
      <c r="AE13" s="1913"/>
      <c r="AF13" s="1913"/>
      <c r="AG13" s="1913"/>
      <c r="AH13" s="1913"/>
      <c r="AI13" s="1914"/>
      <c r="AJ13"/>
    </row>
    <row r="14" spans="1:64" ht="14.25" customHeight="1">
      <c r="D14" s="1902"/>
      <c r="E14" s="1904"/>
      <c r="F14" s="1904"/>
      <c r="G14" s="1908"/>
      <c r="H14" s="1529"/>
      <c r="I14" s="1910"/>
      <c r="J14" s="1872"/>
      <c r="K14" s="1536"/>
      <c r="L14" s="1859"/>
      <c r="M14" s="1859"/>
      <c r="N14" s="1519"/>
      <c r="O14" s="1859"/>
      <c r="P14" s="1872"/>
      <c r="Q14" s="1520"/>
      <c r="R14" s="1859"/>
      <c r="S14" s="1859"/>
      <c r="T14" s="1525"/>
      <c r="U14" s="1526"/>
      <c r="V14" s="1913"/>
      <c r="W14" s="1913"/>
      <c r="X14" s="1913"/>
      <c r="Y14" s="1913"/>
      <c r="Z14" s="1913"/>
      <c r="AA14" s="1913"/>
      <c r="AB14" s="1913"/>
      <c r="AC14" s="1913"/>
      <c r="AD14" s="1913"/>
      <c r="AE14" s="1913"/>
      <c r="AF14" s="1913"/>
      <c r="AG14" s="1913"/>
      <c r="AH14" s="1913"/>
      <c r="AI14" s="1914"/>
      <c r="AJ14"/>
    </row>
    <row r="15" spans="1:64" ht="11.25" customHeight="1">
      <c r="D15" s="1902"/>
      <c r="E15" s="1904"/>
      <c r="F15" s="1904"/>
      <c r="G15" s="1908"/>
      <c r="H15" s="1530"/>
      <c r="I15" s="1910"/>
      <c r="J15" s="1872"/>
      <c r="K15" s="1536"/>
      <c r="L15" s="1859"/>
      <c r="M15" s="1859"/>
      <c r="N15" s="1524"/>
      <c r="O15" s="1524"/>
      <c r="P15" s="1913"/>
      <c r="Q15" s="1913"/>
      <c r="R15" s="1913"/>
      <c r="S15" s="1913"/>
      <c r="T15" s="1913"/>
      <c r="U15" s="1913"/>
      <c r="V15" s="1913"/>
      <c r="W15" s="1913"/>
      <c r="X15" s="1913"/>
      <c r="Y15" s="1913"/>
      <c r="Z15" s="1913"/>
      <c r="AA15" s="1913"/>
      <c r="AB15" s="1913"/>
      <c r="AC15" s="1913"/>
      <c r="AD15" s="1913"/>
      <c r="AE15" s="1913"/>
      <c r="AF15" s="1913"/>
      <c r="AG15" s="1913"/>
      <c r="AH15" s="1913"/>
      <c r="AI15" s="1914"/>
      <c r="AJ15"/>
    </row>
    <row r="16" spans="1:64" s="1484" customFormat="1" ht="11.25" customHeight="1">
      <c r="D16" s="1903"/>
      <c r="E16" s="1905"/>
      <c r="F16" s="1906"/>
      <c r="G16" s="1855"/>
      <c r="H16" s="1527"/>
      <c r="I16" s="1531"/>
      <c r="J16" s="1911"/>
      <c r="K16" s="1911"/>
      <c r="L16" s="1911"/>
      <c r="M16" s="1911"/>
      <c r="N16" s="1911"/>
      <c r="O16" s="1911"/>
      <c r="P16" s="1911"/>
      <c r="Q16" s="1911"/>
      <c r="R16" s="1911"/>
      <c r="S16" s="1911"/>
      <c r="T16" s="1911"/>
      <c r="U16" s="1911"/>
      <c r="V16" s="1911"/>
      <c r="W16" s="1911"/>
      <c r="X16" s="1911"/>
      <c r="Y16" s="1911"/>
      <c r="Z16" s="1911"/>
      <c r="AA16" s="1911"/>
      <c r="AB16" s="1911"/>
      <c r="AC16" s="1911"/>
      <c r="AD16" s="1911"/>
      <c r="AE16" s="1911"/>
      <c r="AF16" s="1911"/>
      <c r="AG16" s="1911"/>
      <c r="AH16" s="1911"/>
      <c r="AI16" s="1912"/>
      <c r="AJ16"/>
      <c r="AK16" s="221"/>
      <c r="AL16"/>
      <c r="AM16"/>
      <c r="AN16"/>
      <c r="AO16"/>
      <c r="AP16"/>
      <c r="AQ16"/>
      <c r="AR16"/>
      <c r="AS16"/>
      <c r="AT16"/>
      <c r="AU16"/>
      <c r="AV16"/>
      <c r="AW16"/>
      <c r="AX16"/>
      <c r="AY16"/>
      <c r="AZ16"/>
      <c r="BA16"/>
      <c r="BB16"/>
      <c r="BC16"/>
      <c r="BD16"/>
      <c r="BE16"/>
      <c r="BF16"/>
      <c r="BG16"/>
      <c r="BH16"/>
      <c r="BI16"/>
      <c r="BJ16"/>
      <c r="BK16"/>
      <c r="BL16"/>
    </row>
    <row r="17" spans="4:64" ht="14.25" customHeight="1">
      <c r="D17" s="1902" t="s">
        <v>106</v>
      </c>
      <c r="E17" s="1904" t="s">
        <v>275</v>
      </c>
      <c r="F17" s="1904" t="s">
        <v>277</v>
      </c>
      <c r="G17" s="1907" t="s">
        <v>56</v>
      </c>
      <c r="H17" s="1528"/>
      <c r="I17" s="1909"/>
      <c r="J17" s="1871"/>
      <c r="K17" s="1434"/>
      <c r="L17" s="1858"/>
      <c r="M17" s="1858"/>
      <c r="N17" s="1513"/>
      <c r="O17" s="1858"/>
      <c r="P17" s="1871"/>
      <c r="Q17" s="1514"/>
      <c r="R17" s="1858"/>
      <c r="S17" s="1858"/>
      <c r="T17" s="1515"/>
      <c r="U17" s="1858"/>
      <c r="V17" s="1871"/>
      <c r="W17" s="1516"/>
      <c r="X17" s="1858"/>
      <c r="Y17" s="1858"/>
      <c r="Z17" s="1513"/>
      <c r="AA17" s="1858"/>
      <c r="AB17" s="1871"/>
      <c r="AC17" s="1517"/>
      <c r="AD17" s="1858"/>
      <c r="AE17" s="1858"/>
      <c r="AF17" s="1433"/>
      <c r="AG17" s="1433"/>
      <c r="AH17" s="1518"/>
      <c r="AI17" s="1225"/>
      <c r="AJ17"/>
    </row>
    <row r="18" spans="4:64" ht="14.25" customHeight="1">
      <c r="D18" s="1902"/>
      <c r="E18" s="1904"/>
      <c r="F18" s="1904"/>
      <c r="G18" s="1908"/>
      <c r="H18" s="1529"/>
      <c r="I18" s="1910"/>
      <c r="J18" s="1872"/>
      <c r="K18" s="1512"/>
      <c r="L18" s="1859"/>
      <c r="M18" s="1859"/>
      <c r="N18" s="1519"/>
      <c r="O18" s="1859"/>
      <c r="P18" s="1872"/>
      <c r="Q18" s="1520"/>
      <c r="R18" s="1859"/>
      <c r="S18" s="1859"/>
      <c r="T18" s="1521"/>
      <c r="U18" s="1859"/>
      <c r="V18" s="1872"/>
      <c r="W18" s="1522"/>
      <c r="X18" s="1859"/>
      <c r="Y18" s="1859"/>
      <c r="Z18" s="1519"/>
      <c r="AA18" s="1859"/>
      <c r="AB18" s="1872"/>
      <c r="AC18" s="1523"/>
      <c r="AD18" s="1859"/>
      <c r="AE18" s="1859"/>
      <c r="AF18" s="1524"/>
      <c r="AG18" s="1524"/>
      <c r="AH18" s="1913"/>
      <c r="AI18" s="1914"/>
      <c r="AJ18"/>
    </row>
    <row r="19" spans="4:64" ht="14.25" customHeight="1">
      <c r="D19" s="1902"/>
      <c r="E19" s="1904"/>
      <c r="F19" s="1904"/>
      <c r="G19" s="1908"/>
      <c r="H19" s="1529"/>
      <c r="I19" s="1910"/>
      <c r="J19" s="1872"/>
      <c r="K19" s="1512"/>
      <c r="L19" s="1859"/>
      <c r="M19" s="1859"/>
      <c r="N19" s="1519"/>
      <c r="O19" s="1859"/>
      <c r="P19" s="1872"/>
      <c r="Q19" s="1520"/>
      <c r="R19" s="1859"/>
      <c r="S19" s="1859"/>
      <c r="T19" s="1521"/>
      <c r="U19" s="1859"/>
      <c r="V19" s="1872"/>
      <c r="W19" s="1522"/>
      <c r="X19" s="1859"/>
      <c r="Y19" s="1859"/>
      <c r="Z19" s="1432"/>
      <c r="AA19" s="1524"/>
      <c r="AB19" s="1913"/>
      <c r="AC19" s="1913"/>
      <c r="AD19" s="1913"/>
      <c r="AE19" s="1913"/>
      <c r="AF19" s="1913"/>
      <c r="AG19" s="1913"/>
      <c r="AH19" s="1913"/>
      <c r="AI19" s="1914"/>
      <c r="AJ19"/>
    </row>
    <row r="20" spans="4:64" ht="14.25" customHeight="1">
      <c r="D20" s="1902"/>
      <c r="E20" s="1904"/>
      <c r="F20" s="1904"/>
      <c r="G20" s="1908"/>
      <c r="H20" s="1529"/>
      <c r="I20" s="1910"/>
      <c r="J20" s="1872"/>
      <c r="K20" s="1512"/>
      <c r="L20" s="1859"/>
      <c r="M20" s="1859"/>
      <c r="N20" s="1519"/>
      <c r="O20" s="1859"/>
      <c r="P20" s="1872"/>
      <c r="Q20" s="1520"/>
      <c r="R20" s="1859"/>
      <c r="S20" s="1859"/>
      <c r="T20" s="1525"/>
      <c r="U20" s="1526"/>
      <c r="V20" s="1913"/>
      <c r="W20" s="1913"/>
      <c r="X20" s="1913"/>
      <c r="Y20" s="1913"/>
      <c r="Z20" s="1913"/>
      <c r="AA20" s="1913"/>
      <c r="AB20" s="1913"/>
      <c r="AC20" s="1913"/>
      <c r="AD20" s="1913"/>
      <c r="AE20" s="1913"/>
      <c r="AF20" s="1913"/>
      <c r="AG20" s="1913"/>
      <c r="AH20" s="1913"/>
      <c r="AI20" s="1914"/>
      <c r="AJ20"/>
    </row>
    <row r="21" spans="4:64" ht="11.25" customHeight="1">
      <c r="D21" s="1902"/>
      <c r="E21" s="1904"/>
      <c r="F21" s="1904"/>
      <c r="G21" s="1908"/>
      <c r="H21" s="1530"/>
      <c r="I21" s="1910"/>
      <c r="J21" s="1872"/>
      <c r="K21" s="1512"/>
      <c r="L21" s="1859"/>
      <c r="M21" s="1859"/>
      <c r="N21" s="1524"/>
      <c r="O21" s="1524"/>
      <c r="P21" s="1913"/>
      <c r="Q21" s="1913"/>
      <c r="R21" s="1913"/>
      <c r="S21" s="1913"/>
      <c r="T21" s="1913"/>
      <c r="U21" s="1913"/>
      <c r="V21" s="1913"/>
      <c r="W21" s="1913"/>
      <c r="X21" s="1913"/>
      <c r="Y21" s="1913"/>
      <c r="Z21" s="1913"/>
      <c r="AA21" s="1913"/>
      <c r="AB21" s="1913"/>
      <c r="AC21" s="1913"/>
      <c r="AD21" s="1913"/>
      <c r="AE21" s="1913"/>
      <c r="AF21" s="1913"/>
      <c r="AG21" s="1913"/>
      <c r="AH21" s="1913"/>
      <c r="AI21" s="1914"/>
      <c r="AJ21"/>
    </row>
    <row r="22" spans="4:64" s="1484" customFormat="1" ht="11.25" customHeight="1">
      <c r="D22" s="1903"/>
      <c r="E22" s="1905"/>
      <c r="F22" s="1906"/>
      <c r="G22" s="1855"/>
      <c r="H22" s="1527"/>
      <c r="I22" s="1531"/>
      <c r="J22" s="1911"/>
      <c r="K22" s="1911"/>
      <c r="L22" s="1911"/>
      <c r="M22" s="1911"/>
      <c r="N22" s="1911"/>
      <c r="O22" s="1911"/>
      <c r="P22" s="1911"/>
      <c r="Q22" s="1911"/>
      <c r="R22" s="1911"/>
      <c r="S22" s="1911"/>
      <c r="T22" s="1911"/>
      <c r="U22" s="1911"/>
      <c r="V22" s="1911"/>
      <c r="W22" s="1911"/>
      <c r="X22" s="1911"/>
      <c r="Y22" s="1911"/>
      <c r="Z22" s="1911"/>
      <c r="AA22" s="1911"/>
      <c r="AB22" s="1911"/>
      <c r="AC22" s="1911"/>
      <c r="AD22" s="1911"/>
      <c r="AE22" s="1911"/>
      <c r="AF22" s="1911"/>
      <c r="AG22" s="1911"/>
      <c r="AH22" s="1911"/>
      <c r="AI22" s="1912"/>
      <c r="AJ22"/>
      <c r="AK22" s="221"/>
      <c r="AL22"/>
      <c r="AM22"/>
      <c r="AN22"/>
      <c r="AO22"/>
      <c r="AP22"/>
      <c r="AQ22"/>
      <c r="AR22"/>
      <c r="AS22"/>
      <c r="AT22"/>
      <c r="AU22"/>
      <c r="AV22"/>
      <c r="AW22"/>
      <c r="AX22"/>
      <c r="AY22"/>
      <c r="AZ22"/>
      <c r="BA22"/>
      <c r="BB22"/>
      <c r="BC22"/>
      <c r="BD22"/>
      <c r="BE22"/>
      <c r="BF22"/>
      <c r="BG22"/>
      <c r="BH22"/>
      <c r="BI22"/>
      <c r="BJ22"/>
      <c r="BK22"/>
      <c r="BL22"/>
    </row>
    <row r="23" spans="4:64" ht="14.25" customHeight="1">
      <c r="D23" s="1902" t="s">
        <v>89</v>
      </c>
      <c r="E23" s="1904" t="s">
        <v>275</v>
      </c>
      <c r="F23" s="1904" t="s">
        <v>278</v>
      </c>
      <c r="G23" s="1907" t="s">
        <v>56</v>
      </c>
      <c r="H23" s="1528"/>
      <c r="I23" s="1909"/>
      <c r="J23" s="1871"/>
      <c r="K23" s="1434"/>
      <c r="L23" s="1858"/>
      <c r="M23" s="1858"/>
      <c r="N23" s="1513"/>
      <c r="O23" s="1858"/>
      <c r="P23" s="1871"/>
      <c r="Q23" s="1514"/>
      <c r="R23" s="1858"/>
      <c r="S23" s="1858"/>
      <c r="T23" s="1515"/>
      <c r="U23" s="1858"/>
      <c r="V23" s="1871"/>
      <c r="W23" s="1516"/>
      <c r="X23" s="1858"/>
      <c r="Y23" s="1858"/>
      <c r="Z23" s="1513"/>
      <c r="AA23" s="1858"/>
      <c r="AB23" s="1871"/>
      <c r="AC23" s="1517"/>
      <c r="AD23" s="1858"/>
      <c r="AE23" s="1858"/>
      <c r="AF23" s="1433"/>
      <c r="AG23" s="1433"/>
      <c r="AH23" s="1518"/>
      <c r="AI23" s="1225"/>
      <c r="AJ23"/>
      <c r="AK23" s="221" t="s">
        <v>97</v>
      </c>
    </row>
    <row r="24" spans="4:64" ht="14.25" customHeight="1">
      <c r="D24" s="1902"/>
      <c r="E24" s="1904"/>
      <c r="F24" s="1904"/>
      <c r="G24" s="1908"/>
      <c r="H24" s="1529"/>
      <c r="I24" s="1910"/>
      <c r="J24" s="1872"/>
      <c r="K24" s="1536"/>
      <c r="L24" s="1859"/>
      <c r="M24" s="1859"/>
      <c r="N24" s="1519"/>
      <c r="O24" s="1859"/>
      <c r="P24" s="1872"/>
      <c r="Q24" s="1520"/>
      <c r="R24" s="1859"/>
      <c r="S24" s="1859"/>
      <c r="T24" s="1521"/>
      <c r="U24" s="1859"/>
      <c r="V24" s="1872"/>
      <c r="W24" s="1522"/>
      <c r="X24" s="1859"/>
      <c r="Y24" s="1859"/>
      <c r="Z24" s="1519"/>
      <c r="AA24" s="1859"/>
      <c r="AB24" s="1872"/>
      <c r="AC24" s="1523"/>
      <c r="AD24" s="1859"/>
      <c r="AE24" s="1859"/>
      <c r="AF24" s="1524"/>
      <c r="AG24" s="1524"/>
      <c r="AH24" s="1913"/>
      <c r="AI24" s="1914"/>
      <c r="AJ24"/>
    </row>
    <row r="25" spans="4:64" ht="14.25" customHeight="1">
      <c r="D25" s="1902"/>
      <c r="E25" s="1904"/>
      <c r="F25" s="1904"/>
      <c r="G25" s="1908"/>
      <c r="H25" s="1529"/>
      <c r="I25" s="1910"/>
      <c r="J25" s="1872"/>
      <c r="K25" s="1536"/>
      <c r="L25" s="1859"/>
      <c r="M25" s="1859"/>
      <c r="N25" s="1519"/>
      <c r="O25" s="1859"/>
      <c r="P25" s="1872"/>
      <c r="Q25" s="1520"/>
      <c r="R25" s="1859"/>
      <c r="S25" s="1859"/>
      <c r="T25" s="1521"/>
      <c r="U25" s="1859"/>
      <c r="V25" s="1872"/>
      <c r="W25" s="1522"/>
      <c r="X25" s="1859"/>
      <c r="Y25" s="1859"/>
      <c r="Z25" s="1432"/>
      <c r="AA25" s="1524"/>
      <c r="AB25" s="1913"/>
      <c r="AC25" s="1913"/>
      <c r="AD25" s="1913"/>
      <c r="AE25" s="1913"/>
      <c r="AF25" s="1913"/>
      <c r="AG25" s="1913"/>
      <c r="AH25" s="1913"/>
      <c r="AI25" s="1914"/>
      <c r="AJ25"/>
    </row>
    <row r="26" spans="4:64" ht="14.25" customHeight="1">
      <c r="D26" s="1902"/>
      <c r="E26" s="1904"/>
      <c r="F26" s="1904"/>
      <c r="G26" s="1908"/>
      <c r="H26" s="1529"/>
      <c r="I26" s="1910"/>
      <c r="J26" s="1872"/>
      <c r="K26" s="1536"/>
      <c r="L26" s="1859"/>
      <c r="M26" s="1859"/>
      <c r="N26" s="1519"/>
      <c r="O26" s="1859"/>
      <c r="P26" s="1872"/>
      <c r="Q26" s="1520"/>
      <c r="R26" s="1859"/>
      <c r="S26" s="1859"/>
      <c r="T26" s="1525"/>
      <c r="U26" s="1526"/>
      <c r="V26" s="1913"/>
      <c r="W26" s="1913"/>
      <c r="X26" s="1913"/>
      <c r="Y26" s="1913"/>
      <c r="Z26" s="1913"/>
      <c r="AA26" s="1913"/>
      <c r="AB26" s="1913"/>
      <c r="AC26" s="1913"/>
      <c r="AD26" s="1913"/>
      <c r="AE26" s="1913"/>
      <c r="AF26" s="1913"/>
      <c r="AG26" s="1913"/>
      <c r="AH26" s="1913"/>
      <c r="AI26" s="1914"/>
      <c r="AJ26"/>
    </row>
    <row r="27" spans="4:64" ht="11.25" customHeight="1">
      <c r="D27" s="1902"/>
      <c r="E27" s="1904"/>
      <c r="F27" s="1904"/>
      <c r="G27" s="1908"/>
      <c r="H27" s="1530"/>
      <c r="I27" s="1910"/>
      <c r="J27" s="1872"/>
      <c r="K27" s="1536"/>
      <c r="L27" s="1859"/>
      <c r="M27" s="1859"/>
      <c r="N27" s="1524"/>
      <c r="O27" s="1524"/>
      <c r="P27" s="1913"/>
      <c r="Q27" s="1913"/>
      <c r="R27" s="1913"/>
      <c r="S27" s="1913"/>
      <c r="T27" s="1913"/>
      <c r="U27" s="1913"/>
      <c r="V27" s="1913"/>
      <c r="W27" s="1913"/>
      <c r="X27" s="1913"/>
      <c r="Y27" s="1913"/>
      <c r="Z27" s="1913"/>
      <c r="AA27" s="1913"/>
      <c r="AB27" s="1913"/>
      <c r="AC27" s="1913"/>
      <c r="AD27" s="1913"/>
      <c r="AE27" s="1913"/>
      <c r="AF27" s="1913"/>
      <c r="AG27" s="1913"/>
      <c r="AH27" s="1913"/>
      <c r="AI27" s="1914"/>
      <c r="AJ27"/>
    </row>
    <row r="28" spans="4:64" s="1484" customFormat="1" ht="11.25" customHeight="1">
      <c r="D28" s="1903"/>
      <c r="E28" s="1905"/>
      <c r="F28" s="1906"/>
      <c r="G28" s="1855"/>
      <c r="H28" s="1527"/>
      <c r="I28" s="1531"/>
      <c r="J28" s="1911"/>
      <c r="K28" s="1911"/>
      <c r="L28" s="1911"/>
      <c r="M28" s="1911"/>
      <c r="N28" s="1911"/>
      <c r="O28" s="1911"/>
      <c r="P28" s="1911"/>
      <c r="Q28" s="1911"/>
      <c r="R28" s="1911"/>
      <c r="S28" s="1911"/>
      <c r="T28" s="1911"/>
      <c r="U28" s="1911"/>
      <c r="V28" s="1911"/>
      <c r="W28" s="1911"/>
      <c r="X28" s="1911"/>
      <c r="Y28" s="1911"/>
      <c r="Z28" s="1911"/>
      <c r="AA28" s="1911"/>
      <c r="AB28" s="1911"/>
      <c r="AC28" s="1911"/>
      <c r="AD28" s="1911"/>
      <c r="AE28" s="1911"/>
      <c r="AF28" s="1911"/>
      <c r="AG28" s="1911"/>
      <c r="AH28" s="1911"/>
      <c r="AI28" s="1912"/>
      <c r="AJ28"/>
      <c r="AK28" s="221"/>
      <c r="AL28"/>
      <c r="AM28"/>
      <c r="AN28"/>
      <c r="AO28"/>
      <c r="AP28"/>
      <c r="AQ28"/>
      <c r="AR28"/>
      <c r="AS28"/>
      <c r="AT28"/>
      <c r="AU28"/>
      <c r="AV28"/>
      <c r="AW28"/>
      <c r="AX28"/>
      <c r="AY28"/>
      <c r="AZ28"/>
      <c r="BA28"/>
      <c r="BB28"/>
      <c r="BC28"/>
      <c r="BD28"/>
      <c r="BE28"/>
      <c r="BF28"/>
      <c r="BG28"/>
      <c r="BH28"/>
      <c r="BI28"/>
      <c r="BJ28"/>
      <c r="BK28"/>
      <c r="BL28"/>
    </row>
    <row r="29" spans="4:64" ht="14.25" customHeight="1">
      <c r="D29" s="1902" t="s">
        <v>90</v>
      </c>
      <c r="E29" s="1904" t="s">
        <v>275</v>
      </c>
      <c r="F29" s="1904" t="s">
        <v>279</v>
      </c>
      <c r="G29" s="1907" t="s">
        <v>56</v>
      </c>
      <c r="H29" s="1528"/>
      <c r="I29" s="1909"/>
      <c r="J29" s="1871"/>
      <c r="K29" s="1434"/>
      <c r="L29" s="1858"/>
      <c r="M29" s="1858"/>
      <c r="N29" s="1513"/>
      <c r="O29" s="1858"/>
      <c r="P29" s="1871"/>
      <c r="Q29" s="1514"/>
      <c r="R29" s="1858"/>
      <c r="S29" s="1858"/>
      <c r="T29" s="1515"/>
      <c r="U29" s="1858"/>
      <c r="V29" s="1871"/>
      <c r="W29" s="1516"/>
      <c r="X29" s="1858"/>
      <c r="Y29" s="1858"/>
      <c r="Z29" s="1513"/>
      <c r="AA29" s="1858"/>
      <c r="AB29" s="1871"/>
      <c r="AC29" s="1517"/>
      <c r="AD29" s="1858"/>
      <c r="AE29" s="1858"/>
      <c r="AF29" s="1433"/>
      <c r="AG29" s="1433"/>
      <c r="AH29" s="1518"/>
      <c r="AI29" s="1225"/>
      <c r="AJ29"/>
    </row>
    <row r="30" spans="4:64" ht="14.25" customHeight="1">
      <c r="D30" s="1902"/>
      <c r="E30" s="1904"/>
      <c r="F30" s="1904"/>
      <c r="G30" s="1908"/>
      <c r="H30" s="1529"/>
      <c r="I30" s="1910"/>
      <c r="J30" s="1872"/>
      <c r="K30" s="1512"/>
      <c r="L30" s="1859"/>
      <c r="M30" s="1859"/>
      <c r="N30" s="1519"/>
      <c r="O30" s="1859"/>
      <c r="P30" s="1872"/>
      <c r="Q30" s="1520"/>
      <c r="R30" s="1859"/>
      <c r="S30" s="1859"/>
      <c r="T30" s="1521"/>
      <c r="U30" s="1859"/>
      <c r="V30" s="1872"/>
      <c r="W30" s="1522"/>
      <c r="X30" s="1859"/>
      <c r="Y30" s="1859"/>
      <c r="Z30" s="1519"/>
      <c r="AA30" s="1859"/>
      <c r="AB30" s="1872"/>
      <c r="AC30" s="1523"/>
      <c r="AD30" s="1859"/>
      <c r="AE30" s="1859"/>
      <c r="AF30" s="1524"/>
      <c r="AG30" s="1524"/>
      <c r="AH30" s="1913"/>
      <c r="AI30" s="1914"/>
      <c r="AJ30"/>
    </row>
    <row r="31" spans="4:64" ht="14.25" customHeight="1">
      <c r="D31" s="1902"/>
      <c r="E31" s="1904"/>
      <c r="F31" s="1904"/>
      <c r="G31" s="1908"/>
      <c r="H31" s="1529"/>
      <c r="I31" s="1910"/>
      <c r="J31" s="1872"/>
      <c r="K31" s="1512"/>
      <c r="L31" s="1859"/>
      <c r="M31" s="1859"/>
      <c r="N31" s="1519"/>
      <c r="O31" s="1859"/>
      <c r="P31" s="1872"/>
      <c r="Q31" s="1520"/>
      <c r="R31" s="1859"/>
      <c r="S31" s="1859"/>
      <c r="T31" s="1521"/>
      <c r="U31" s="1859"/>
      <c r="V31" s="1872"/>
      <c r="W31" s="1522"/>
      <c r="X31" s="1859"/>
      <c r="Y31" s="1859"/>
      <c r="Z31" s="1432"/>
      <c r="AA31" s="1524"/>
      <c r="AB31" s="1913"/>
      <c r="AC31" s="1913"/>
      <c r="AD31" s="1913"/>
      <c r="AE31" s="1913"/>
      <c r="AF31" s="1913"/>
      <c r="AG31" s="1913"/>
      <c r="AH31" s="1913"/>
      <c r="AI31" s="1914"/>
      <c r="AJ31"/>
    </row>
    <row r="32" spans="4:64" ht="14.25" customHeight="1">
      <c r="D32" s="1902"/>
      <c r="E32" s="1904"/>
      <c r="F32" s="1904"/>
      <c r="G32" s="1908"/>
      <c r="H32" s="1529"/>
      <c r="I32" s="1910"/>
      <c r="J32" s="1872"/>
      <c r="K32" s="1512"/>
      <c r="L32" s="1859"/>
      <c r="M32" s="1859"/>
      <c r="N32" s="1519"/>
      <c r="O32" s="1859"/>
      <c r="P32" s="1872"/>
      <c r="Q32" s="1520"/>
      <c r="R32" s="1859"/>
      <c r="S32" s="1859"/>
      <c r="T32" s="1525"/>
      <c r="U32" s="1526"/>
      <c r="V32" s="1913"/>
      <c r="W32" s="1913"/>
      <c r="X32" s="1913"/>
      <c r="Y32" s="1913"/>
      <c r="Z32" s="1913"/>
      <c r="AA32" s="1913"/>
      <c r="AB32" s="1913"/>
      <c r="AC32" s="1913"/>
      <c r="AD32" s="1913"/>
      <c r="AE32" s="1913"/>
      <c r="AF32" s="1913"/>
      <c r="AG32" s="1913"/>
      <c r="AH32" s="1913"/>
      <c r="AI32" s="1914"/>
      <c r="AJ32"/>
    </row>
    <row r="33" spans="4:64" ht="11.25" customHeight="1">
      <c r="D33" s="1902"/>
      <c r="E33" s="1904"/>
      <c r="F33" s="1904"/>
      <c r="G33" s="1908"/>
      <c r="H33" s="1530"/>
      <c r="I33" s="1910"/>
      <c r="J33" s="1872"/>
      <c r="K33" s="1512"/>
      <c r="L33" s="1859"/>
      <c r="M33" s="1859"/>
      <c r="N33" s="1524"/>
      <c r="O33" s="1524"/>
      <c r="P33" s="1913"/>
      <c r="Q33" s="1913"/>
      <c r="R33" s="1913"/>
      <c r="S33" s="1913"/>
      <c r="T33" s="1913"/>
      <c r="U33" s="1913"/>
      <c r="V33" s="1913"/>
      <c r="W33" s="1913"/>
      <c r="X33" s="1913"/>
      <c r="Y33" s="1913"/>
      <c r="Z33" s="1913"/>
      <c r="AA33" s="1913"/>
      <c r="AB33" s="1913"/>
      <c r="AC33" s="1913"/>
      <c r="AD33" s="1913"/>
      <c r="AE33" s="1913"/>
      <c r="AF33" s="1913"/>
      <c r="AG33" s="1913"/>
      <c r="AH33" s="1913"/>
      <c r="AI33" s="1914"/>
      <c r="AJ33"/>
    </row>
    <row r="34" spans="4:64" s="1484" customFormat="1" ht="11.25" customHeight="1">
      <c r="D34" s="1903"/>
      <c r="E34" s="1905"/>
      <c r="F34" s="1906"/>
      <c r="G34" s="1855"/>
      <c r="H34" s="1527"/>
      <c r="I34" s="1531"/>
      <c r="J34" s="1911"/>
      <c r="K34" s="1911"/>
      <c r="L34" s="1911"/>
      <c r="M34" s="1911"/>
      <c r="N34" s="1911"/>
      <c r="O34" s="1911"/>
      <c r="P34" s="1911"/>
      <c r="Q34" s="1911"/>
      <c r="R34" s="1911"/>
      <c r="S34" s="1911"/>
      <c r="T34" s="1911"/>
      <c r="U34" s="1911"/>
      <c r="V34" s="1911"/>
      <c r="W34" s="1911"/>
      <c r="X34" s="1911"/>
      <c r="Y34" s="1911"/>
      <c r="Z34" s="1911"/>
      <c r="AA34" s="1911"/>
      <c r="AB34" s="1911"/>
      <c r="AC34" s="1911"/>
      <c r="AD34" s="1911"/>
      <c r="AE34" s="1911"/>
      <c r="AF34" s="1911"/>
      <c r="AG34" s="1911"/>
      <c r="AH34" s="1911"/>
      <c r="AI34" s="1912"/>
      <c r="AJ34"/>
      <c r="AK34" s="221"/>
      <c r="AL34"/>
      <c r="AM34"/>
      <c r="AN34"/>
      <c r="AO34"/>
      <c r="AP34"/>
      <c r="AQ34"/>
      <c r="AR34"/>
      <c r="AS34"/>
      <c r="AT34"/>
      <c r="AU34"/>
      <c r="AV34"/>
      <c r="AW34"/>
      <c r="AX34"/>
      <c r="AY34"/>
      <c r="AZ34"/>
      <c r="BA34"/>
      <c r="BB34"/>
      <c r="BC34"/>
      <c r="BD34"/>
      <c r="BE34"/>
      <c r="BF34"/>
      <c r="BG34"/>
      <c r="BH34"/>
      <c r="BI34"/>
      <c r="BJ34"/>
      <c r="BK34"/>
      <c r="BL34"/>
    </row>
    <row r="35" spans="4:64" ht="14.25" customHeight="1">
      <c r="D35" s="1902" t="s">
        <v>107</v>
      </c>
      <c r="E35" s="1904" t="s">
        <v>275</v>
      </c>
      <c r="F35" s="1904" t="s">
        <v>280</v>
      </c>
      <c r="G35" s="1907" t="s">
        <v>56</v>
      </c>
      <c r="H35" s="1528"/>
      <c r="I35" s="1909"/>
      <c r="J35" s="1871"/>
      <c r="K35" s="1434"/>
      <c r="L35" s="1858"/>
      <c r="M35" s="1858"/>
      <c r="N35" s="1513"/>
      <c r="O35" s="1858"/>
      <c r="P35" s="1871"/>
      <c r="Q35" s="1514"/>
      <c r="R35" s="1858"/>
      <c r="S35" s="1858"/>
      <c r="T35" s="1515"/>
      <c r="U35" s="1858"/>
      <c r="V35" s="1871"/>
      <c r="W35" s="1516"/>
      <c r="X35" s="1858"/>
      <c r="Y35" s="1858"/>
      <c r="Z35" s="1513"/>
      <c r="AA35" s="1858"/>
      <c r="AB35" s="1871"/>
      <c r="AC35" s="1517"/>
      <c r="AD35" s="1858"/>
      <c r="AE35" s="1858"/>
      <c r="AF35" s="1433"/>
      <c r="AG35" s="1433"/>
      <c r="AH35" s="1518"/>
      <c r="AI35" s="1225"/>
      <c r="AJ35"/>
    </row>
    <row r="36" spans="4:64" ht="14.25" customHeight="1">
      <c r="D36" s="1902"/>
      <c r="E36" s="1904"/>
      <c r="F36" s="1904"/>
      <c r="G36" s="1908"/>
      <c r="H36" s="1529"/>
      <c r="I36" s="1910"/>
      <c r="J36" s="1872"/>
      <c r="K36" s="1512"/>
      <c r="L36" s="1859"/>
      <c r="M36" s="1859"/>
      <c r="N36" s="1519"/>
      <c r="O36" s="1859"/>
      <c r="P36" s="1872"/>
      <c r="Q36" s="1520"/>
      <c r="R36" s="1859"/>
      <c r="S36" s="1859"/>
      <c r="T36" s="1521"/>
      <c r="U36" s="1859"/>
      <c r="V36" s="1872"/>
      <c r="W36" s="1522"/>
      <c r="X36" s="1859"/>
      <c r="Y36" s="1859"/>
      <c r="Z36" s="1519"/>
      <c r="AA36" s="1859"/>
      <c r="AB36" s="1872"/>
      <c r="AC36" s="1523"/>
      <c r="AD36" s="1859"/>
      <c r="AE36" s="1859"/>
      <c r="AF36" s="1524"/>
      <c r="AG36" s="1524"/>
      <c r="AH36" s="1913"/>
      <c r="AI36" s="1914"/>
      <c r="AJ36"/>
    </row>
    <row r="37" spans="4:64" ht="14.25" customHeight="1">
      <c r="D37" s="1902"/>
      <c r="E37" s="1904"/>
      <c r="F37" s="1904"/>
      <c r="G37" s="1908"/>
      <c r="H37" s="1529"/>
      <c r="I37" s="1910"/>
      <c r="J37" s="1872"/>
      <c r="K37" s="1512"/>
      <c r="L37" s="1859"/>
      <c r="M37" s="1859"/>
      <c r="N37" s="1519"/>
      <c r="O37" s="1859"/>
      <c r="P37" s="1872"/>
      <c r="Q37" s="1520"/>
      <c r="R37" s="1859"/>
      <c r="S37" s="1859"/>
      <c r="T37" s="1521"/>
      <c r="U37" s="1859"/>
      <c r="V37" s="1872"/>
      <c r="W37" s="1522"/>
      <c r="X37" s="1859"/>
      <c r="Y37" s="1859"/>
      <c r="Z37" s="1432"/>
      <c r="AA37" s="1524"/>
      <c r="AB37" s="1913"/>
      <c r="AC37" s="1913"/>
      <c r="AD37" s="1913"/>
      <c r="AE37" s="1913"/>
      <c r="AF37" s="1913"/>
      <c r="AG37" s="1913"/>
      <c r="AH37" s="1913"/>
      <c r="AI37" s="1914"/>
      <c r="AJ37"/>
    </row>
    <row r="38" spans="4:64" ht="14.25" customHeight="1">
      <c r="D38" s="1902"/>
      <c r="E38" s="1904"/>
      <c r="F38" s="1904"/>
      <c r="G38" s="1908"/>
      <c r="H38" s="1529"/>
      <c r="I38" s="1910"/>
      <c r="J38" s="1872"/>
      <c r="K38" s="1512"/>
      <c r="L38" s="1859"/>
      <c r="M38" s="1859"/>
      <c r="N38" s="1519"/>
      <c r="O38" s="1859"/>
      <c r="P38" s="1872"/>
      <c r="Q38" s="1520"/>
      <c r="R38" s="1859"/>
      <c r="S38" s="1859"/>
      <c r="T38" s="1525"/>
      <c r="U38" s="1526"/>
      <c r="V38" s="1913"/>
      <c r="W38" s="1913"/>
      <c r="X38" s="1913"/>
      <c r="Y38" s="1913"/>
      <c r="Z38" s="1913"/>
      <c r="AA38" s="1913"/>
      <c r="AB38" s="1913"/>
      <c r="AC38" s="1913"/>
      <c r="AD38" s="1913"/>
      <c r="AE38" s="1913"/>
      <c r="AF38" s="1913"/>
      <c r="AG38" s="1913"/>
      <c r="AH38" s="1913"/>
      <c r="AI38" s="1914"/>
      <c r="AJ38"/>
    </row>
    <row r="39" spans="4:64" ht="11.25" customHeight="1">
      <c r="D39" s="1902"/>
      <c r="E39" s="1904"/>
      <c r="F39" s="1904"/>
      <c r="G39" s="1908"/>
      <c r="H39" s="1530"/>
      <c r="I39" s="1910"/>
      <c r="J39" s="1872"/>
      <c r="K39" s="1512"/>
      <c r="L39" s="1859"/>
      <c r="M39" s="1859"/>
      <c r="N39" s="1524"/>
      <c r="O39" s="1524"/>
      <c r="P39" s="1913"/>
      <c r="Q39" s="1913"/>
      <c r="R39" s="1913"/>
      <c r="S39" s="1913"/>
      <c r="T39" s="1913"/>
      <c r="U39" s="1913"/>
      <c r="V39" s="1913"/>
      <c r="W39" s="1913"/>
      <c r="X39" s="1913"/>
      <c r="Y39" s="1913"/>
      <c r="Z39" s="1913"/>
      <c r="AA39" s="1913"/>
      <c r="AB39" s="1913"/>
      <c r="AC39" s="1913"/>
      <c r="AD39" s="1913"/>
      <c r="AE39" s="1913"/>
      <c r="AF39" s="1913"/>
      <c r="AG39" s="1913"/>
      <c r="AH39" s="1913"/>
      <c r="AI39" s="1914"/>
      <c r="AJ39"/>
    </row>
    <row r="40" spans="4:64" s="1484" customFormat="1" ht="11.25" customHeight="1">
      <c r="D40" s="1902"/>
      <c r="E40" s="1904"/>
      <c r="F40" s="1915"/>
      <c r="G40" s="1855"/>
      <c r="H40" s="1527"/>
      <c r="I40" s="1531"/>
      <c r="J40" s="1911"/>
      <c r="K40" s="1911"/>
      <c r="L40" s="1911"/>
      <c r="M40" s="1911"/>
      <c r="N40" s="1911"/>
      <c r="O40" s="1911"/>
      <c r="P40" s="1911"/>
      <c r="Q40" s="1911"/>
      <c r="R40" s="1911"/>
      <c r="S40" s="1911"/>
      <c r="T40" s="1911"/>
      <c r="U40" s="1911"/>
      <c r="V40" s="1911"/>
      <c r="W40" s="1911"/>
      <c r="X40" s="1911"/>
      <c r="Y40" s="1911"/>
      <c r="Z40" s="1911"/>
      <c r="AA40" s="1911"/>
      <c r="AB40" s="1911"/>
      <c r="AC40" s="1911"/>
      <c r="AD40" s="1911"/>
      <c r="AE40" s="1911"/>
      <c r="AF40" s="1911"/>
      <c r="AG40" s="1911"/>
      <c r="AH40" s="1911"/>
      <c r="AI40" s="1912"/>
      <c r="AJ40"/>
      <c r="AK40" s="221"/>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298" hidden="1"/>
    <col min="2" max="2" width="9.09765625" style="1751" hidden="1"/>
    <col min="3" max="3" width="3.69921875" style="43" customWidth="1"/>
    <col min="4" max="4" width="7" style="1751" customWidth="1"/>
    <col min="5" max="5" width="23.09765625" style="1751" customWidth="1"/>
    <col min="6" max="6" width="16" style="1751" customWidth="1"/>
    <col min="7" max="7" width="14.796875" style="1751" customWidth="1"/>
    <col min="8" max="8" width="47.796875" style="1751" customWidth="1"/>
    <col min="9" max="9" width="115.69921875" style="1751" customWidth="1"/>
    <col min="10" max="10" width="3.69921875" style="1751" customWidth="1"/>
    <col min="11" max="12" width="9.09765625" style="1751"/>
  </cols>
  <sheetData>
    <row r="1" spans="1:12" ht="14.25" hidden="1" customHeight="1"/>
    <row r="2" spans="1:12" ht="14.25" hidden="1" customHeight="1"/>
    <row r="3" spans="1:12" ht="14.25" hidden="1" customHeight="1"/>
    <row r="4" spans="1:12" ht="3" customHeight="1"/>
    <row r="5" spans="1:12" s="1560" customFormat="1" ht="30" customHeight="1">
      <c r="A5" s="41"/>
      <c r="C5" s="19"/>
      <c r="D5" s="1826" t="s">
        <v>2125</v>
      </c>
      <c r="E5" s="1826"/>
      <c r="F5" s="1826"/>
      <c r="G5" s="1826"/>
      <c r="H5" s="1826"/>
      <c r="I5" s="180"/>
    </row>
    <row r="6" spans="1:12" ht="3" hidden="1" customHeight="1">
      <c r="D6" s="45"/>
      <c r="E6" s="45"/>
      <c r="F6" s="45"/>
      <c r="G6" s="45"/>
      <c r="H6" s="45"/>
      <c r="I6" s="45"/>
    </row>
    <row r="7" spans="1:12" s="298" customFormat="1" ht="14.25" customHeight="1">
      <c r="B7" s="42"/>
      <c r="C7" s="43"/>
      <c r="D7" s="46"/>
      <c r="E7" s="46"/>
      <c r="F7" s="46"/>
      <c r="G7" s="46"/>
      <c r="H7" s="671"/>
      <c r="I7" s="46"/>
      <c r="J7" s="47"/>
    </row>
    <row r="8" spans="1:12" ht="14.25" customHeight="1">
      <c r="D8" s="1925" t="s">
        <v>282</v>
      </c>
      <c r="E8" s="1925"/>
      <c r="F8" s="1925"/>
      <c r="G8" s="1925"/>
      <c r="H8" s="1925"/>
      <c r="I8" s="1925" t="s">
        <v>283</v>
      </c>
    </row>
    <row r="9" spans="1:12" ht="27.75" customHeight="1">
      <c r="D9" s="1925" t="s">
        <v>87</v>
      </c>
      <c r="E9" s="1925" t="s">
        <v>2126</v>
      </c>
      <c r="F9" s="1925"/>
      <c r="G9" s="1925"/>
      <c r="H9" s="1925"/>
      <c r="I9" s="1925"/>
    </row>
    <row r="10" spans="1:12" ht="22.5" customHeight="1">
      <c r="D10" s="1925"/>
      <c r="E10" s="50" t="s">
        <v>2127</v>
      </c>
      <c r="F10" s="50" t="s">
        <v>2128</v>
      </c>
      <c r="G10" s="50" t="s">
        <v>2129</v>
      </c>
      <c r="H10" s="50" t="s">
        <v>392</v>
      </c>
      <c r="I10" s="1925"/>
    </row>
    <row r="11" spans="1:12" ht="12" hidden="1" customHeight="1">
      <c r="D11" s="18" t="s">
        <v>105</v>
      </c>
      <c r="E11" s="18" t="s">
        <v>90</v>
      </c>
      <c r="F11" s="18" t="s">
        <v>107</v>
      </c>
      <c r="G11" s="18" t="s">
        <v>91</v>
      </c>
      <c r="H11" s="18" t="s">
        <v>92</v>
      </c>
      <c r="I11" s="18" t="s">
        <v>108</v>
      </c>
    </row>
    <row r="12" spans="1:12" s="1751" customFormat="1" ht="24.75" customHeight="1">
      <c r="A12" s="65" t="s">
        <v>89</v>
      </c>
      <c r="B12" s="48" t="s">
        <v>18</v>
      </c>
      <c r="C12" s="49"/>
      <c r="D12" s="51" t="s">
        <v>105</v>
      </c>
      <c r="E12" s="310"/>
      <c r="F12" s="310"/>
      <c r="G12" s="1658" t="s">
        <v>18</v>
      </c>
      <c r="H12" s="311"/>
      <c r="I12" s="1884" t="s">
        <v>2130</v>
      </c>
      <c r="K12" s="187"/>
      <c r="L12" s="188"/>
    </row>
    <row r="13" spans="1:12" ht="15" customHeight="1">
      <c r="A13" s="44"/>
      <c r="B13" s="44"/>
      <c r="C13" s="44"/>
      <c r="D13" s="36"/>
      <c r="E13" s="53" t="s">
        <v>552</v>
      </c>
      <c r="F13" s="52"/>
      <c r="G13" s="52"/>
      <c r="H13" s="131"/>
      <c r="I13" s="1886"/>
    </row>
    <row r="14" spans="1:12" ht="3" customHeight="1">
      <c r="A14" s="44"/>
      <c r="B14" s="44"/>
      <c r="C14" s="44"/>
    </row>
    <row r="15" spans="1:12" ht="27.75" customHeight="1">
      <c r="E15" s="2205" t="s">
        <v>2131</v>
      </c>
      <c r="F15" s="2205"/>
      <c r="G15" s="2205"/>
      <c r="H15" s="2205"/>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9" width="9.09765625" style="179"/>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206" t="s">
        <v>2132</v>
      </c>
      <c r="E7" s="2207"/>
      <c r="F7" s="182"/>
    </row>
    <row r="8" spans="3:9" ht="3" customHeight="1">
      <c r="C8" s="21"/>
      <c r="D8" s="3"/>
      <c r="E8" s="3"/>
    </row>
    <row r="9" spans="3:9" ht="15.75" customHeight="1">
      <c r="C9" s="21"/>
      <c r="D9" s="32" t="s">
        <v>87</v>
      </c>
      <c r="E9" s="175" t="s">
        <v>2133</v>
      </c>
    </row>
    <row r="10" spans="3:9" ht="12" customHeight="1">
      <c r="C10" s="21"/>
      <c r="D10" s="18" t="s">
        <v>105</v>
      </c>
      <c r="E10" s="18" t="s">
        <v>106</v>
      </c>
    </row>
    <row r="11" spans="3:9" ht="11.25" hidden="1" customHeight="1">
      <c r="C11" s="21"/>
      <c r="D11" s="70">
        <v>0</v>
      </c>
      <c r="E11" s="176"/>
    </row>
    <row r="12" spans="3:9" ht="15" customHeight="1">
      <c r="C12" s="58"/>
      <c r="D12" s="39">
        <v>1</v>
      </c>
      <c r="E12" s="303"/>
    </row>
    <row r="13" spans="3:9" ht="12" customHeight="1">
      <c r="C13" s="21"/>
      <c r="D13" s="177"/>
      <c r="E13" s="178" t="s">
        <v>2134</v>
      </c>
    </row>
    <row r="14" spans="3:9" ht="3" customHeight="1"/>
    <row r="15" spans="3:9" ht="22.5" customHeight="1">
      <c r="C15" s="59"/>
      <c r="D15" s="2205" t="s">
        <v>2135</v>
      </c>
      <c r="E15" s="2205"/>
      <c r="F15" s="60"/>
      <c r="G15" s="60"/>
      <c r="H15" s="60"/>
      <c r="I15" s="60"/>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427" hidden="1" customWidth="1"/>
    <col min="3" max="3" width="3.69921875" style="381" customWidth="1"/>
    <col min="4" max="4" width="6.796875" style="382" customWidth="1"/>
    <col min="5" max="5" width="52.296875" style="381" customWidth="1"/>
    <col min="6" max="6" width="48.796875" style="381" customWidth="1"/>
    <col min="7" max="7" width="93.3984375" style="381" customWidth="1"/>
    <col min="8" max="8" width="9.09765625" style="381"/>
    <col min="9" max="9" width="65" style="381" customWidth="1"/>
  </cols>
  <sheetData>
    <row r="1" spans="1:9" ht="11.25" hidden="1" customHeight="1">
      <c r="A1" s="427" t="s">
        <v>281</v>
      </c>
    </row>
    <row r="2" spans="1:9" ht="22.5" hidden="1" customHeight="1">
      <c r="A2" s="428"/>
      <c r="B2" s="428"/>
      <c r="C2" s="383"/>
      <c r="D2" s="1440"/>
      <c r="E2" s="1446"/>
      <c r="F2" s="1476"/>
      <c r="H2" s="401"/>
    </row>
    <row r="3" spans="1:9" ht="11.25" hidden="1" customHeight="1"/>
    <row r="4" spans="1:9" ht="11.25" customHeight="1">
      <c r="A4" s="1477"/>
      <c r="B4" s="1477"/>
    </row>
    <row r="5" spans="1:9" ht="36.75" customHeight="1">
      <c r="D5" s="1833"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1834"/>
      <c r="F5" s="1835"/>
      <c r="I5" s="634"/>
    </row>
    <row r="6" spans="1:9" ht="17.25" customHeight="1">
      <c r="D6" s="1927" t="str">
        <f>IF(region_name=0,"Не определено",region_name)</f>
        <v>Костромская область</v>
      </c>
      <c r="E6" s="1927"/>
      <c r="F6" s="1927"/>
      <c r="I6" s="634"/>
    </row>
    <row r="7" spans="1:9" s="403" customFormat="1" ht="11.25" customHeight="1">
      <c r="A7" s="427"/>
      <c r="B7" s="427"/>
      <c r="D7" s="633"/>
      <c r="E7" s="633"/>
      <c r="F7" s="671"/>
      <c r="G7" s="633"/>
    </row>
    <row r="8" spans="1:9" ht="11.25" hidden="1" customHeight="1">
      <c r="A8" s="428"/>
      <c r="B8" s="428"/>
      <c r="C8" s="383"/>
      <c r="D8" s="389"/>
      <c r="E8" s="1923"/>
      <c r="F8" s="1923"/>
    </row>
    <row r="9" spans="1:9" ht="11.25" customHeight="1">
      <c r="A9" s="428"/>
      <c r="B9" s="428"/>
      <c r="C9" s="383"/>
      <c r="D9" s="1919" t="s">
        <v>282</v>
      </c>
      <c r="E9" s="1920"/>
      <c r="F9" s="1920"/>
      <c r="G9" s="1924" t="s">
        <v>283</v>
      </c>
    </row>
    <row r="10" spans="1:9" ht="11.25" customHeight="1">
      <c r="A10" s="428"/>
      <c r="B10" s="428"/>
      <c r="C10" s="383"/>
      <c r="D10" s="1394" t="s">
        <v>87</v>
      </c>
      <c r="E10" s="1396" t="s">
        <v>284</v>
      </c>
      <c r="F10" s="1396" t="s">
        <v>285</v>
      </c>
      <c r="G10" s="1925"/>
    </row>
    <row r="11" spans="1:9" ht="12" customHeight="1">
      <c r="A11" s="428"/>
      <c r="B11" s="428"/>
      <c r="C11" s="383"/>
      <c r="D11" s="390"/>
      <c r="E11" s="390"/>
      <c r="F11" s="390"/>
      <c r="G11" s="390"/>
    </row>
    <row r="12" spans="1:9" ht="22.5" customHeight="1">
      <c r="A12" s="428"/>
      <c r="B12" s="428"/>
      <c r="C12" s="383"/>
      <c r="D12" s="1440">
        <v>1</v>
      </c>
      <c r="E12" s="400" t="s">
        <v>2136</v>
      </c>
      <c r="F12" s="1788" t="str">
        <f>IF(org="","",org)</f>
        <v>НАО "СВЕЗА Мантурово"</v>
      </c>
      <c r="G12" s="400" t="s">
        <v>2137</v>
      </c>
      <c r="H12" s="1453"/>
    </row>
    <row r="13" spans="1:9" ht="18.75" customHeight="1">
      <c r="A13" s="428"/>
      <c r="B13" s="428"/>
      <c r="C13" s="383"/>
      <c r="D13" s="1440">
        <v>2</v>
      </c>
      <c r="E13" s="1447" t="s">
        <v>2138</v>
      </c>
      <c r="F13" s="1441" t="s">
        <v>288</v>
      </c>
      <c r="G13" s="400"/>
      <c r="H13" s="1453"/>
    </row>
    <row r="14" spans="1:9" ht="18.75" customHeight="1">
      <c r="A14" s="428"/>
      <c r="B14" s="428"/>
      <c r="C14" s="383"/>
      <c r="D14" s="1443" t="s">
        <v>466</v>
      </c>
      <c r="E14" s="1444" t="s">
        <v>2139</v>
      </c>
      <c r="F14" s="1446"/>
      <c r="G14" s="1445" t="s">
        <v>2140</v>
      </c>
      <c r="H14" s="1453"/>
    </row>
    <row r="15" spans="1:9" ht="18.75" customHeight="1">
      <c r="A15" s="428"/>
      <c r="B15" s="428"/>
      <c r="C15" s="383"/>
      <c r="D15" s="1443" t="s">
        <v>290</v>
      </c>
      <c r="E15" s="1444" t="s">
        <v>2141</v>
      </c>
      <c r="F15" s="1446"/>
      <c r="G15" s="1445" t="s">
        <v>2142</v>
      </c>
      <c r="H15" s="1453"/>
    </row>
    <row r="16" spans="1:9" ht="36.75" customHeight="1">
      <c r="A16" s="428"/>
      <c r="B16" s="428"/>
      <c r="C16" s="383"/>
      <c r="D16" s="1443" t="s">
        <v>293</v>
      </c>
      <c r="E16" s="1442" t="s">
        <v>2143</v>
      </c>
      <c r="F16" s="1451"/>
      <c r="G16" s="400" t="s">
        <v>2144</v>
      </c>
      <c r="H16" s="1453"/>
    </row>
    <row r="17" spans="1:9" ht="45" customHeight="1">
      <c r="A17" s="428"/>
      <c r="B17" s="428"/>
      <c r="C17" s="383"/>
      <c r="D17" s="1440">
        <v>3</v>
      </c>
      <c r="E17" s="1447" t="s">
        <v>2145</v>
      </c>
      <c r="F17" s="1446"/>
      <c r="G17" s="400" t="s">
        <v>2146</v>
      </c>
      <c r="H17" s="1453"/>
    </row>
    <row r="18" spans="1:9" ht="45" customHeight="1">
      <c r="A18" s="1395">
        <v>1</v>
      </c>
      <c r="B18" s="428"/>
      <c r="C18" s="1397"/>
      <c r="D18" s="1440" t="s">
        <v>90</v>
      </c>
      <c r="E18" s="1447" t="s">
        <v>2147</v>
      </c>
      <c r="F18" s="1446"/>
      <c r="G18" s="400" t="s">
        <v>2146</v>
      </c>
      <c r="H18" s="1453"/>
      <c r="I18" s="770"/>
    </row>
    <row r="19" spans="1:9" ht="22.5" customHeight="1">
      <c r="A19" s="428"/>
      <c r="B19" s="428"/>
      <c r="C19" s="383"/>
      <c r="D19" s="1440" t="s">
        <v>107</v>
      </c>
      <c r="E19" s="1447" t="s">
        <v>2148</v>
      </c>
      <c r="F19" s="1441" t="s">
        <v>288</v>
      </c>
      <c r="G19" s="2208" t="s">
        <v>2149</v>
      </c>
      <c r="H19" s="401"/>
    </row>
    <row r="20" spans="1:9" s="1450" customFormat="1" ht="5.25" hidden="1" customHeight="1">
      <c r="A20" s="428"/>
      <c r="B20" s="428"/>
      <c r="C20" s="1449"/>
      <c r="D20" s="1448" t="s">
        <v>1650</v>
      </c>
      <c r="E20" s="930"/>
      <c r="F20" s="929"/>
      <c r="G20" s="2209"/>
    </row>
    <row r="21" spans="1:9" ht="15" customHeight="1">
      <c r="A21" s="428"/>
      <c r="B21" s="428"/>
      <c r="C21" s="383"/>
      <c r="D21" s="393"/>
      <c r="E21" s="345" t="s">
        <v>335</v>
      </c>
      <c r="F21" s="395"/>
      <c r="G21" s="2210"/>
      <c r="H21" s="1453"/>
    </row>
    <row r="22" spans="1:9" s="427" customFormat="1" ht="24.75" customHeight="1">
      <c r="A22" s="428"/>
      <c r="B22" s="428"/>
      <c r="C22" s="428"/>
      <c r="D22" s="1440" t="s">
        <v>91</v>
      </c>
      <c r="E22" s="400" t="s">
        <v>2150</v>
      </c>
      <c r="F22" s="1446"/>
      <c r="G22" s="400" t="s">
        <v>2151</v>
      </c>
      <c r="H22" s="1452"/>
    </row>
    <row r="23" spans="1:9" s="427" customFormat="1" ht="18.75" customHeight="1">
      <c r="A23" s="428"/>
      <c r="B23" s="428"/>
      <c r="C23" s="428"/>
      <c r="D23" s="1440" t="s">
        <v>92</v>
      </c>
      <c r="E23" s="1447" t="s">
        <v>2152</v>
      </c>
      <c r="F23" s="1451"/>
      <c r="G23" s="400" t="s">
        <v>2153</v>
      </c>
      <c r="H23" s="1452"/>
    </row>
    <row r="24" spans="1:9" ht="11.25" customHeight="1">
      <c r="A24" s="428"/>
      <c r="B24" s="428"/>
      <c r="C24" s="383"/>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560" hidden="1"/>
    <col min="2" max="2" width="9.09765625" style="1292" hidden="1"/>
    <col min="3" max="3" width="3.69921875" style="1560" hidden="1" customWidth="1"/>
    <col min="4" max="4" width="3.796875" style="1770" customWidth="1"/>
    <col min="5" max="5" width="6.296875" style="1560" customWidth="1"/>
    <col min="6" max="6" width="46.69921875" style="1560" customWidth="1"/>
    <col min="7" max="8" width="16.69921875" style="1560" customWidth="1"/>
    <col min="9" max="9" width="35.296875" style="1560" customWidth="1"/>
    <col min="10" max="10" width="89.59765625" style="1560" customWidth="1"/>
    <col min="11" max="11" width="3.69921875" style="1549" customWidth="1"/>
    <col min="12" max="14" width="9.09765625" style="1549"/>
    <col min="15" max="15" width="25.69921875" style="1549" customWidth="1"/>
    <col min="16" max="16" width="14.3984375" style="1549" customWidth="1"/>
    <col min="17" max="20" width="9.09765625" style="142"/>
    <col min="21" max="254" width="9.09765625" style="1560"/>
  </cols>
  <sheetData>
    <row r="1" spans="1:254" ht="14.25" hidden="1" customHeight="1"/>
    <row r="2" spans="1:254" s="1796" customFormat="1" ht="22.5" hidden="1" customHeight="1">
      <c r="A2" s="749"/>
      <c r="B2" s="1070">
        <v>1</v>
      </c>
      <c r="C2" s="1070"/>
      <c r="D2" s="719"/>
      <c r="E2" s="1404"/>
      <c r="F2" s="1411"/>
      <c r="G2" s="1411"/>
      <c r="H2" s="1411"/>
      <c r="I2" s="1458"/>
      <c r="J2" s="145"/>
      <c r="K2" s="1455" t="e">
        <f ca="1">MERGEVALUE(F2)</f>
        <v>#NAME?</v>
      </c>
      <c r="L2" s="437"/>
      <c r="M2" s="437"/>
      <c r="N2" s="426" t="str">
        <f t="array" ref="N2">IF(ISERROR(MATCH(MID(O2,1,250),MID(note_ter,1,250),0)),"n","y")</f>
        <v>n</v>
      </c>
      <c r="O2" s="437"/>
      <c r="P2" s="426" t="str">
        <f>G2&amp;"("&amp;J2&amp;")"</f>
        <v>()</v>
      </c>
      <c r="Q2" s="1070"/>
      <c r="R2" s="1070"/>
      <c r="S2" s="349"/>
      <c r="T2" s="1070"/>
      <c r="U2" s="1070"/>
      <c r="V2" s="1070"/>
      <c r="W2" s="351"/>
      <c r="X2" s="351"/>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51"/>
      <c r="BU2" s="351"/>
      <c r="BV2" s="351"/>
      <c r="BW2" s="351"/>
      <c r="BX2" s="351"/>
      <c r="BY2" s="351"/>
      <c r="BZ2" s="351"/>
      <c r="CA2" s="351"/>
      <c r="CB2" s="351"/>
      <c r="CC2" s="351"/>
    </row>
    <row r="3" spans="1:254" s="1567" customFormat="1" ht="5.25" hidden="1" customHeight="1">
      <c r="A3" s="422"/>
      <c r="D3" s="420"/>
      <c r="F3" s="162" t="s">
        <v>82</v>
      </c>
      <c r="G3" s="420" t="s">
        <v>83</v>
      </c>
      <c r="H3" s="420"/>
      <c r="I3" s="420"/>
      <c r="J3" s="144" t="s">
        <v>84</v>
      </c>
      <c r="K3" s="162" t="s">
        <v>82</v>
      </c>
      <c r="L3" s="162"/>
      <c r="M3" s="162"/>
      <c r="N3" s="162"/>
      <c r="O3" s="163"/>
      <c r="P3" s="162"/>
      <c r="Q3" s="162"/>
      <c r="R3" s="162"/>
      <c r="S3" s="162"/>
      <c r="T3" s="162"/>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row>
    <row r="4" spans="1:254" s="1748" customFormat="1" ht="14.25" customHeight="1">
      <c r="A4" s="1065"/>
      <c r="B4" s="1070"/>
      <c r="C4" s="1065"/>
      <c r="D4" s="1415"/>
      <c r="E4" s="435"/>
      <c r="F4" s="435"/>
      <c r="G4" s="435"/>
      <c r="H4" s="435"/>
      <c r="I4" s="435"/>
      <c r="J4" s="84"/>
      <c r="K4" s="162"/>
      <c r="L4" s="426"/>
      <c r="M4" s="426"/>
      <c r="N4" s="426"/>
      <c r="O4" s="143"/>
      <c r="P4" s="426"/>
      <c r="Q4" s="142"/>
      <c r="R4" s="142"/>
      <c r="S4" s="142"/>
      <c r="T4" s="142"/>
    </row>
    <row r="5" spans="1:254" s="1748" customFormat="1" ht="25.5" customHeight="1">
      <c r="A5" s="1065"/>
      <c r="B5" s="1070"/>
      <c r="C5" s="1065"/>
      <c r="D5" s="1415"/>
      <c r="E5" s="1826"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826"/>
      <c r="G5" s="1826"/>
      <c r="H5" s="1826"/>
      <c r="I5" s="1826"/>
      <c r="J5" s="1826"/>
      <c r="K5" s="162"/>
      <c r="L5" s="426"/>
      <c r="M5" s="426"/>
      <c r="N5" s="426"/>
      <c r="O5" s="143"/>
      <c r="P5" s="426"/>
      <c r="Q5" s="142"/>
      <c r="R5" s="142"/>
      <c r="S5" s="142"/>
      <c r="T5" s="142"/>
    </row>
    <row r="6" spans="1:254" s="1748" customFormat="1" ht="14.25" customHeight="1">
      <c r="A6" s="1065"/>
      <c r="B6" s="1070"/>
      <c r="C6" s="1065"/>
      <c r="D6" s="1415"/>
      <c r="E6" s="435"/>
      <c r="F6" s="85"/>
      <c r="G6" s="85"/>
      <c r="H6" s="85"/>
      <c r="I6" s="85"/>
      <c r="J6" s="86"/>
      <c r="K6" s="426"/>
      <c r="L6" s="426"/>
      <c r="M6" s="426"/>
      <c r="N6" s="426"/>
      <c r="O6" s="143"/>
      <c r="P6" s="426"/>
      <c r="Q6" s="142"/>
      <c r="R6" s="142"/>
      <c r="S6" s="142"/>
      <c r="T6" s="142"/>
    </row>
    <row r="7" spans="1:254" s="1748" customFormat="1" ht="14.25" customHeight="1">
      <c r="A7" s="1065"/>
      <c r="B7" s="1070"/>
      <c r="C7" s="1065"/>
      <c r="D7" s="1415"/>
      <c r="E7" s="1822" t="s">
        <v>282</v>
      </c>
      <c r="F7" s="1827"/>
      <c r="G7" s="1827"/>
      <c r="H7" s="1827"/>
      <c r="I7" s="1827"/>
      <c r="J7" s="2211" t="s">
        <v>283</v>
      </c>
      <c r="K7" s="426"/>
      <c r="L7" s="426"/>
      <c r="M7" s="426"/>
      <c r="N7" s="426"/>
      <c r="O7" s="143"/>
      <c r="P7" s="426"/>
      <c r="Q7" s="142"/>
      <c r="R7" s="142"/>
      <c r="S7" s="142"/>
      <c r="T7" s="142"/>
    </row>
    <row r="8" spans="1:254" s="1748" customFormat="1" ht="20.25" customHeight="1">
      <c r="A8" s="1065"/>
      <c r="B8" s="1070"/>
      <c r="C8" s="1065"/>
      <c r="D8" s="1415"/>
      <c r="E8" s="1475" t="s">
        <v>87</v>
      </c>
      <c r="F8" s="1460" t="s">
        <v>2154</v>
      </c>
      <c r="G8" s="1460" t="s">
        <v>48</v>
      </c>
      <c r="H8" s="1460" t="s">
        <v>50</v>
      </c>
      <c r="I8" s="1460" t="s">
        <v>2155</v>
      </c>
      <c r="J8" s="2212"/>
      <c r="K8" s="426"/>
      <c r="L8" s="426"/>
      <c r="M8" s="426"/>
      <c r="N8" s="426"/>
      <c r="O8" s="143"/>
      <c r="P8" s="426"/>
      <c r="Q8" s="142"/>
      <c r="R8" s="142"/>
      <c r="S8" s="142"/>
      <c r="T8" s="142"/>
    </row>
    <row r="9" spans="1:254" s="1796" customFormat="1" ht="22.5" customHeight="1">
      <c r="A9" s="1825"/>
      <c r="B9" s="1070">
        <v>1</v>
      </c>
      <c r="C9" s="1070"/>
      <c r="D9" s="719"/>
      <c r="E9" s="1404">
        <v>1</v>
      </c>
      <c r="F9" s="1474"/>
      <c r="G9" s="1411"/>
      <c r="H9" s="1411"/>
      <c r="I9" s="1458"/>
      <c r="J9" s="2213" t="s">
        <v>2156</v>
      </c>
      <c r="K9" s="1455" t="e">
        <f ca="1">MERGEVALUE(F9)</f>
        <v>#NAME?</v>
      </c>
      <c r="L9" s="437"/>
      <c r="M9" s="437"/>
      <c r="N9" s="426" t="str">
        <f t="array" ref="N9">IF(ISERROR(MATCH(MID(O9,1,250),MID(note_ter,1,250),0)),"n","y")</f>
        <v>n</v>
      </c>
      <c r="O9" s="437"/>
      <c r="P9" s="426"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70"/>
      <c r="R9" s="1070"/>
      <c r="S9" s="349"/>
      <c r="T9" s="1070"/>
      <c r="U9" s="1070"/>
      <c r="V9" s="1070"/>
      <c r="W9" s="351"/>
      <c r="X9" s="351"/>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8"/>
      <c r="BQ9" s="348"/>
      <c r="BR9" s="348"/>
      <c r="BS9" s="348"/>
      <c r="BT9" s="351"/>
      <c r="BU9" s="351"/>
      <c r="BV9" s="351"/>
      <c r="BW9" s="351"/>
      <c r="BX9" s="351"/>
      <c r="BY9" s="351"/>
      <c r="BZ9" s="351"/>
      <c r="CA9" s="351"/>
      <c r="CB9" s="351"/>
      <c r="CC9" s="351"/>
    </row>
    <row r="10" spans="1:254" s="1796" customFormat="1" ht="15" customHeight="1">
      <c r="A10" s="1825"/>
      <c r="B10" s="1070"/>
      <c r="C10" s="342"/>
      <c r="D10" s="719"/>
      <c r="E10" s="1461"/>
      <c r="F10" s="1420" t="s">
        <v>2157</v>
      </c>
      <c r="G10" s="1462"/>
      <c r="H10" s="1462"/>
      <c r="I10" s="1462"/>
      <c r="J10" s="2214"/>
      <c r="K10" s="1456"/>
      <c r="L10" s="437"/>
      <c r="M10" s="437"/>
      <c r="N10" s="437"/>
      <c r="O10" s="426"/>
      <c r="P10" s="437"/>
      <c r="Q10" s="1070"/>
      <c r="R10" s="1070"/>
      <c r="S10" s="349"/>
      <c r="T10" s="1070"/>
      <c r="U10" s="1070"/>
      <c r="V10" s="1070"/>
      <c r="W10" s="351"/>
      <c r="X10" s="351"/>
      <c r="Y10" s="348"/>
      <c r="Z10" s="348"/>
      <c r="AA10" s="348"/>
      <c r="AB10" s="348"/>
      <c r="AC10" s="348"/>
      <c r="AD10" s="348"/>
      <c r="AE10" s="348"/>
      <c r="AF10" s="348"/>
      <c r="AG10" s="348"/>
      <c r="AH10" s="348"/>
      <c r="AI10" s="348"/>
      <c r="AJ10" s="348"/>
      <c r="AK10" s="348"/>
      <c r="AL10" s="348"/>
      <c r="AM10" s="348"/>
      <c r="AN10" s="348"/>
      <c r="AO10" s="348"/>
      <c r="AP10" s="348"/>
      <c r="AQ10" s="348"/>
      <c r="AR10" s="348"/>
      <c r="AS10" s="348"/>
      <c r="AT10" s="348"/>
      <c r="AU10" s="348"/>
      <c r="AV10" s="348"/>
      <c r="AW10" s="348"/>
      <c r="AX10" s="348"/>
      <c r="AY10" s="348"/>
      <c r="AZ10" s="348"/>
      <c r="BA10" s="348"/>
      <c r="BB10" s="348"/>
      <c r="BC10" s="348"/>
      <c r="BD10" s="348"/>
      <c r="BE10" s="348"/>
      <c r="BF10" s="348"/>
      <c r="BG10" s="348"/>
      <c r="BH10" s="348"/>
      <c r="BI10" s="348"/>
      <c r="BJ10" s="348"/>
      <c r="BK10" s="348"/>
      <c r="BL10" s="348"/>
      <c r="BM10" s="348"/>
      <c r="BN10" s="348"/>
      <c r="BO10" s="348"/>
      <c r="BP10" s="348"/>
      <c r="BQ10" s="348"/>
      <c r="BR10" s="348"/>
      <c r="BS10" s="348"/>
      <c r="BT10" s="351"/>
      <c r="BU10" s="351"/>
      <c r="BV10" s="351"/>
      <c r="BW10" s="351"/>
      <c r="BX10" s="351"/>
      <c r="BY10" s="351"/>
      <c r="BZ10" s="351"/>
      <c r="CA10" s="351"/>
      <c r="CB10" s="351"/>
      <c r="CC10" s="351"/>
    </row>
    <row r="11" spans="1:254" s="1748" customFormat="1" ht="21" customHeight="1">
      <c r="A11" s="1065"/>
      <c r="B11" s="1070"/>
      <c r="C11" s="1065"/>
      <c r="D11" s="378"/>
      <c r="E11" s="98"/>
      <c r="F11" s="98"/>
      <c r="G11" s="98"/>
      <c r="H11" s="98"/>
      <c r="I11" s="98"/>
      <c r="J11" s="98"/>
      <c r="K11" s="426"/>
      <c r="L11" s="426"/>
      <c r="M11" s="426"/>
      <c r="N11" s="426"/>
      <c r="O11" s="143"/>
      <c r="P11" s="426"/>
      <c r="Q11" s="142"/>
      <c r="R11" s="142"/>
      <c r="S11" s="142"/>
      <c r="T11" s="142"/>
    </row>
    <row r="12" spans="1:254" s="1748" customFormat="1" ht="14.25" customHeight="1">
      <c r="A12" s="1065"/>
      <c r="B12" s="1070"/>
      <c r="C12" s="1065"/>
      <c r="D12" s="378"/>
      <c r="E12" s="1065"/>
      <c r="F12" s="1065"/>
      <c r="G12" s="1065"/>
      <c r="H12" s="1065"/>
      <c r="I12" s="1065"/>
      <c r="J12" s="1065"/>
      <c r="K12" s="426"/>
      <c r="L12" s="426"/>
      <c r="M12" s="426"/>
      <c r="N12" s="426"/>
      <c r="O12" s="143"/>
      <c r="P12" s="426"/>
      <c r="Q12" s="142"/>
      <c r="R12" s="142"/>
      <c r="S12" s="142"/>
      <c r="T12" s="142"/>
    </row>
    <row r="13" spans="1:254" s="1748" customFormat="1" ht="0.75" customHeight="1">
      <c r="A13" s="1065"/>
      <c r="B13" s="1070"/>
      <c r="C13" s="1065"/>
      <c r="D13" s="378"/>
      <c r="E13" s="1065"/>
      <c r="F13" s="1065"/>
      <c r="G13" s="1065"/>
      <c r="H13" s="1065"/>
      <c r="I13" s="1065"/>
      <c r="J13" s="1065"/>
      <c r="K13" s="426"/>
      <c r="L13" s="426"/>
      <c r="M13" s="426"/>
      <c r="N13" s="426"/>
      <c r="O13" s="143"/>
      <c r="P13" s="426"/>
      <c r="Q13" s="142"/>
      <c r="R13" s="142"/>
      <c r="S13" s="142"/>
      <c r="T13" s="142"/>
    </row>
    <row r="14" spans="1:254" s="980" customFormat="1" ht="10.5" customHeight="1">
      <c r="B14" s="752"/>
      <c r="D14" s="100"/>
      <c r="K14" s="426"/>
      <c r="L14" s="426"/>
      <c r="M14" s="426"/>
      <c r="N14" s="426"/>
      <c r="O14" s="143"/>
      <c r="P14" s="426"/>
      <c r="Q14" s="142"/>
      <c r="R14" s="142"/>
      <c r="S14" s="142"/>
      <c r="T14" s="142"/>
    </row>
    <row r="15" spans="1:254" s="980" customFormat="1" ht="10.5" customHeight="1">
      <c r="B15" s="752"/>
      <c r="D15" s="100"/>
      <c r="K15" s="426"/>
      <c r="L15" s="426"/>
      <c r="M15" s="426"/>
      <c r="N15" s="426"/>
      <c r="O15" s="143"/>
      <c r="P15" s="426"/>
      <c r="Q15" s="142"/>
      <c r="R15" s="142"/>
      <c r="S15" s="142"/>
      <c r="T15" s="142"/>
    </row>
    <row r="19" spans="7:13" ht="14.25" customHeight="1">
      <c r="G19"/>
      <c r="H19"/>
      <c r="I19"/>
    </row>
    <row r="23" spans="7:13" ht="14.25" customHeight="1">
      <c r="K23" s="1065"/>
      <c r="L23" s="1065"/>
      <c r="M23" s="1065"/>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560" hidden="1"/>
    <col min="2" max="2" width="9.09765625" style="1292" hidden="1"/>
    <col min="3" max="3" width="3.69921875" style="1560" hidden="1" customWidth="1"/>
    <col min="4" max="4" width="3.796875" style="1770" customWidth="1"/>
    <col min="5" max="5" width="6.296875" style="1560" customWidth="1"/>
    <col min="6" max="6" width="27.296875" style="1560" customWidth="1"/>
    <col min="7" max="7" width="16.69921875" style="1560" customWidth="1"/>
    <col min="8" max="8" width="12.69921875" style="1560" customWidth="1"/>
    <col min="9" max="9" width="32.09765625" style="1560" customWidth="1"/>
    <col min="10" max="11" width="41.796875" style="1560" customWidth="1"/>
    <col min="12" max="12" width="89.59765625" style="1560" customWidth="1"/>
    <col min="13" max="13" width="3.69921875" style="1549" customWidth="1"/>
    <col min="14" max="16" width="9.09765625" style="1549"/>
    <col min="17" max="17" width="25.69921875" style="1549" customWidth="1"/>
    <col min="18" max="18" width="14.3984375" style="1549" customWidth="1"/>
    <col min="19" max="22" width="9.09765625" style="142"/>
    <col min="23" max="256" width="9.09765625" style="1560"/>
  </cols>
  <sheetData>
    <row r="1" spans="1:256" ht="14.25" hidden="1" customHeight="1"/>
    <row r="2" spans="1:256" s="1796" customFormat="1" ht="22.5" hidden="1" customHeight="1">
      <c r="A2" s="749"/>
      <c r="B2" s="1070">
        <v>1</v>
      </c>
      <c r="C2" s="1070"/>
      <c r="D2" s="719"/>
      <c r="E2" s="1404"/>
      <c r="F2" s="1459" t="str">
        <f>IF(ROIV_INFO_NAME="","",ROIV_INFO_NAME)</f>
        <v>НАО "СВЕЗА Мантурово"</v>
      </c>
      <c r="G2" s="1656" t="s">
        <v>18</v>
      </c>
      <c r="H2" s="1458"/>
      <c r="I2" s="1458"/>
      <c r="J2" s="1074"/>
      <c r="K2" s="1074"/>
      <c r="L2" s="145"/>
      <c r="M2" s="1455" t="e">
        <f ca="1">MERGEVALUE(F2)</f>
        <v>#NAME?</v>
      </c>
      <c r="N2" s="437"/>
      <c r="O2" s="437"/>
      <c r="P2" s="426" t="str">
        <f t="array" ref="P2">IF(ISERROR(MATCH(MID(Q2,1,250),MID(note_ter,1,250),0)),"n","y")</f>
        <v>n</v>
      </c>
      <c r="Q2" s="437"/>
      <c r="R2" s="426" t="str">
        <f>G2&amp;"("&amp;L2&amp;")"</f>
        <v>()</v>
      </c>
      <c r="S2" s="1070"/>
      <c r="T2" s="1070"/>
      <c r="U2" s="349"/>
      <c r="V2" s="1070"/>
      <c r="W2" s="1070"/>
      <c r="X2" s="1070"/>
      <c r="Y2" s="351"/>
      <c r="Z2" s="351"/>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51"/>
      <c r="BW2" s="351"/>
      <c r="BX2" s="351"/>
      <c r="BY2" s="351"/>
      <c r="BZ2" s="351"/>
      <c r="CA2" s="351"/>
      <c r="CB2" s="351"/>
      <c r="CC2" s="351"/>
      <c r="CD2" s="351"/>
      <c r="CE2" s="351"/>
    </row>
    <row r="3" spans="1:256" s="1567" customFormat="1" ht="5.25" hidden="1" customHeight="1">
      <c r="A3" s="422"/>
      <c r="D3" s="420"/>
      <c r="F3" s="162" t="s">
        <v>82</v>
      </c>
      <c r="G3" s="1659" t="s">
        <v>83</v>
      </c>
      <c r="H3" s="420"/>
      <c r="I3" s="420"/>
      <c r="J3" s="420"/>
      <c r="K3" s="420"/>
      <c r="L3" s="144" t="s">
        <v>84</v>
      </c>
      <c r="M3" s="162" t="s">
        <v>82</v>
      </c>
      <c r="N3" s="162"/>
      <c r="O3" s="162"/>
      <c r="P3" s="162"/>
      <c r="Q3" s="163"/>
      <c r="R3" s="162"/>
      <c r="S3" s="162"/>
      <c r="T3" s="162"/>
      <c r="U3" s="162"/>
      <c r="V3" s="162"/>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748" customFormat="1" ht="14.25" customHeight="1">
      <c r="A4" s="1065"/>
      <c r="B4" s="1070"/>
      <c r="C4" s="1065"/>
      <c r="D4" s="1415"/>
      <c r="E4" s="435"/>
      <c r="F4" s="435"/>
      <c r="G4" s="435"/>
      <c r="H4" s="435"/>
      <c r="I4" s="435"/>
      <c r="J4" s="435"/>
      <c r="K4" s="435"/>
      <c r="L4" s="84"/>
      <c r="M4" s="162"/>
      <c r="N4" s="426"/>
      <c r="O4" s="426"/>
      <c r="P4" s="426"/>
      <c r="Q4" s="143"/>
      <c r="R4" s="426"/>
      <c r="S4" s="142"/>
      <c r="T4" s="142"/>
      <c r="U4" s="142"/>
      <c r="V4" s="142"/>
    </row>
    <row r="5" spans="1:256" s="1748" customFormat="1" ht="25.5" customHeight="1">
      <c r="A5" s="1065"/>
      <c r="B5" s="1070"/>
      <c r="C5" s="1065"/>
      <c r="D5" s="1415"/>
      <c r="E5" s="1826"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826"/>
      <c r="G5" s="1826"/>
      <c r="H5" s="1826"/>
      <c r="I5" s="1826"/>
      <c r="J5" s="1826"/>
      <c r="K5" s="1826"/>
      <c r="L5" s="511"/>
      <c r="M5" s="162"/>
      <c r="N5" s="426"/>
      <c r="O5" s="426"/>
      <c r="P5" s="426"/>
      <c r="Q5" s="143"/>
      <c r="R5" s="426"/>
      <c r="S5" s="142"/>
      <c r="T5" s="142"/>
      <c r="U5" s="142"/>
      <c r="V5" s="142"/>
    </row>
    <row r="6" spans="1:256" s="1748" customFormat="1" ht="14.25" customHeight="1">
      <c r="A6" s="1065"/>
      <c r="B6" s="1070"/>
      <c r="C6" s="1065"/>
      <c r="D6" s="1415"/>
      <c r="E6" s="435"/>
      <c r="F6" s="85"/>
      <c r="G6" s="85"/>
      <c r="H6" s="85"/>
      <c r="I6" s="85"/>
      <c r="J6" s="85"/>
      <c r="K6" s="85"/>
      <c r="L6" s="86"/>
      <c r="M6" s="426"/>
      <c r="N6" s="426"/>
      <c r="O6" s="426"/>
      <c r="P6" s="426"/>
      <c r="Q6" s="143"/>
      <c r="R6" s="426"/>
      <c r="S6" s="142"/>
      <c r="T6" s="142"/>
      <c r="U6" s="142"/>
      <c r="V6" s="142"/>
    </row>
    <row r="7" spans="1:256" s="1748" customFormat="1" ht="14.25" customHeight="1">
      <c r="A7" s="1065"/>
      <c r="B7" s="1070"/>
      <c r="C7" s="1065"/>
      <c r="D7" s="1415"/>
      <c r="E7" s="1822" t="s">
        <v>282</v>
      </c>
      <c r="F7" s="1827"/>
      <c r="G7" s="1827"/>
      <c r="H7" s="1827"/>
      <c r="I7" s="1827"/>
      <c r="J7" s="1827"/>
      <c r="K7" s="1827"/>
      <c r="L7" s="2211" t="s">
        <v>283</v>
      </c>
      <c r="M7" s="426"/>
      <c r="N7" s="426"/>
      <c r="O7" s="426"/>
      <c r="P7" s="426"/>
      <c r="Q7" s="143"/>
      <c r="R7" s="426"/>
      <c r="S7" s="142"/>
      <c r="T7" s="142"/>
      <c r="U7" s="142"/>
      <c r="V7" s="142"/>
    </row>
    <row r="8" spans="1:256" s="1748" customFormat="1" ht="47.25" customHeight="1">
      <c r="A8" s="1065"/>
      <c r="B8" s="1070"/>
      <c r="C8" s="1065"/>
      <c r="D8" s="1415"/>
      <c r="E8" s="2216" t="s">
        <v>87</v>
      </c>
      <c r="F8" s="2216" t="s">
        <v>2136</v>
      </c>
      <c r="G8" s="221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219"/>
      <c r="I8" s="2220"/>
      <c r="J8" s="221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21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215"/>
      <c r="M8" s="426"/>
      <c r="N8" s="426"/>
      <c r="O8" s="426"/>
      <c r="P8" s="426"/>
      <c r="Q8" s="143"/>
      <c r="R8" s="426"/>
      <c r="S8" s="142"/>
      <c r="T8" s="142"/>
      <c r="U8" s="142"/>
      <c r="V8" s="142"/>
    </row>
    <row r="9" spans="1:256" s="1748" customFormat="1" ht="56.25" customHeight="1">
      <c r="A9" s="1065"/>
      <c r="B9" s="1070"/>
      <c r="C9" s="1065"/>
      <c r="D9" s="1415"/>
      <c r="E9" s="2217"/>
      <c r="F9" s="2217"/>
      <c r="G9" s="1457" t="s">
        <v>2158</v>
      </c>
      <c r="H9" s="1457" t="s">
        <v>2159</v>
      </c>
      <c r="I9" s="1457" t="s">
        <v>2160</v>
      </c>
      <c r="J9" s="2217"/>
      <c r="K9" s="2217"/>
      <c r="L9" s="2212"/>
      <c r="M9" s="426"/>
      <c r="N9" s="426"/>
      <c r="O9" s="426"/>
      <c r="P9" s="426"/>
      <c r="Q9" s="143"/>
      <c r="R9" s="426"/>
      <c r="S9" s="142"/>
      <c r="T9" s="142"/>
      <c r="U9" s="142"/>
      <c r="V9" s="142"/>
    </row>
    <row r="10" spans="1:256" s="1796" customFormat="1" ht="22.5" customHeight="1">
      <c r="A10" s="1825"/>
      <c r="B10" s="1070">
        <v>1</v>
      </c>
      <c r="C10" s="1070"/>
      <c r="D10" s="718"/>
      <c r="E10" s="716">
        <v>1</v>
      </c>
      <c r="F10" s="1459" t="str">
        <f>IF(ROIV_INFO_NAME="","",ROIV_INFO_NAME)</f>
        <v>НАО "СВЕЗА Мантурово"</v>
      </c>
      <c r="G10" s="1656" t="s">
        <v>18</v>
      </c>
      <c r="H10" s="1454"/>
      <c r="I10" s="1454"/>
      <c r="J10" s="1074"/>
      <c r="K10" s="1074"/>
      <c r="L10" s="2213" t="s">
        <v>2161</v>
      </c>
      <c r="M10" s="1455" t="e">
        <f ca="1">MERGEVALUE(F10)</f>
        <v>#NAME?</v>
      </c>
      <c r="N10" s="437"/>
      <c r="O10" s="437"/>
      <c r="P10" s="426" t="str">
        <f t="array" ref="P10">IF(ISERROR(MATCH(MID(Q10,1,250),MID(note_ter,1,250),0)),"n","y")</f>
        <v>n</v>
      </c>
      <c r="Q10" s="437"/>
      <c r="R10" s="42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70"/>
      <c r="T10" s="1070"/>
      <c r="U10" s="349"/>
      <c r="V10" s="1070"/>
      <c r="W10" s="1070"/>
      <c r="X10" s="1070"/>
      <c r="Y10" s="351"/>
      <c r="Z10" s="351"/>
      <c r="AA10" s="348"/>
      <c r="AB10" s="348"/>
      <c r="AC10" s="348"/>
      <c r="AD10" s="348"/>
      <c r="AE10" s="348"/>
      <c r="AF10" s="348"/>
      <c r="AG10" s="348"/>
      <c r="AH10" s="348"/>
      <c r="AI10" s="348"/>
      <c r="AJ10" s="348"/>
      <c r="AK10" s="348"/>
      <c r="AL10" s="348"/>
      <c r="AM10" s="348"/>
      <c r="AN10" s="348"/>
      <c r="AO10" s="348"/>
      <c r="AP10" s="348"/>
      <c r="AQ10" s="348"/>
      <c r="AR10" s="348"/>
      <c r="AS10" s="348"/>
      <c r="AT10" s="348"/>
      <c r="AU10" s="348"/>
      <c r="AV10" s="348"/>
      <c r="AW10" s="348"/>
      <c r="AX10" s="348"/>
      <c r="AY10" s="348"/>
      <c r="AZ10" s="348"/>
      <c r="BA10" s="348"/>
      <c r="BB10" s="348"/>
      <c r="BC10" s="348"/>
      <c r="BD10" s="348"/>
      <c r="BE10" s="348"/>
      <c r="BF10" s="348"/>
      <c r="BG10" s="348"/>
      <c r="BH10" s="348"/>
      <c r="BI10" s="348"/>
      <c r="BJ10" s="348"/>
      <c r="BK10" s="348"/>
      <c r="BL10" s="348"/>
      <c r="BM10" s="348"/>
      <c r="BN10" s="348"/>
      <c r="BO10" s="348"/>
      <c r="BP10" s="348"/>
      <c r="BQ10" s="348"/>
      <c r="BR10" s="348"/>
      <c r="BS10" s="348"/>
      <c r="BT10" s="348"/>
      <c r="BU10" s="348"/>
      <c r="BV10" s="351"/>
      <c r="BW10" s="351"/>
      <c r="BX10" s="351"/>
      <c r="BY10" s="351"/>
      <c r="BZ10" s="351"/>
      <c r="CA10" s="351"/>
      <c r="CB10" s="351"/>
      <c r="CC10" s="351"/>
      <c r="CD10" s="351"/>
      <c r="CE10" s="351"/>
    </row>
    <row r="11" spans="1:256" s="1796" customFormat="1" ht="15" customHeight="1">
      <c r="A11" s="1825"/>
      <c r="B11" s="1070"/>
      <c r="C11" s="342"/>
      <c r="D11" s="719"/>
      <c r="E11" s="350"/>
      <c r="F11" s="346" t="s">
        <v>2162</v>
      </c>
      <c r="G11" s="105"/>
      <c r="H11" s="105"/>
      <c r="I11" s="105"/>
      <c r="J11" s="105"/>
      <c r="K11" s="105"/>
      <c r="L11" s="2214"/>
      <c r="M11" s="1456"/>
      <c r="N11" s="437"/>
      <c r="O11" s="437"/>
      <c r="P11" s="437"/>
      <c r="Q11" s="426"/>
      <c r="R11" s="437"/>
      <c r="S11" s="1070"/>
      <c r="T11" s="1070"/>
      <c r="U11" s="349"/>
      <c r="V11" s="1070"/>
      <c r="W11" s="1070"/>
      <c r="X11" s="1070"/>
      <c r="Y11" s="351"/>
      <c r="Z11" s="351"/>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51"/>
      <c r="BW11" s="351"/>
      <c r="BX11" s="351"/>
      <c r="BY11" s="351"/>
      <c r="BZ11" s="351"/>
      <c r="CA11" s="351"/>
      <c r="CB11" s="351"/>
      <c r="CC11" s="351"/>
      <c r="CD11" s="351"/>
      <c r="CE11" s="351"/>
    </row>
    <row r="12" spans="1:256" s="1748" customFormat="1" ht="21" customHeight="1">
      <c r="A12" s="1065"/>
      <c r="B12" s="1070"/>
      <c r="C12" s="1065"/>
      <c r="D12" s="378"/>
      <c r="E12" s="98"/>
      <c r="F12" s="98"/>
      <c r="G12" s="98"/>
      <c r="H12" s="98"/>
      <c r="I12" s="98"/>
      <c r="J12" s="98"/>
      <c r="K12" s="98"/>
      <c r="L12" s="98"/>
      <c r="M12" s="426"/>
      <c r="N12" s="426"/>
      <c r="O12" s="426"/>
      <c r="P12" s="426"/>
      <c r="Q12" s="143"/>
      <c r="R12" s="426"/>
      <c r="S12" s="142"/>
      <c r="T12" s="142"/>
      <c r="U12" s="142"/>
      <c r="V12" s="142"/>
    </row>
    <row r="13" spans="1:256" s="1748" customFormat="1" ht="14.25" customHeight="1">
      <c r="A13" s="1065"/>
      <c r="B13" s="1070"/>
      <c r="C13" s="1065"/>
      <c r="D13" s="378"/>
      <c r="E13" s="1065"/>
      <c r="F13" s="1065"/>
      <c r="G13" s="1065"/>
      <c r="H13" s="1065"/>
      <c r="I13" s="1065"/>
      <c r="J13" s="1065"/>
      <c r="K13" s="1065"/>
      <c r="L13" s="1065"/>
      <c r="M13" s="426"/>
      <c r="N13" s="426"/>
      <c r="O13" s="426"/>
      <c r="P13" s="426"/>
      <c r="Q13" s="143"/>
      <c r="R13" s="426"/>
      <c r="S13" s="142"/>
      <c r="T13" s="142"/>
      <c r="U13" s="142"/>
      <c r="V13" s="142"/>
    </row>
    <row r="14" spans="1:256" s="1748" customFormat="1" ht="0.75" customHeight="1">
      <c r="A14" s="1065"/>
      <c r="B14" s="1070"/>
      <c r="C14" s="1065"/>
      <c r="D14" s="378"/>
      <c r="E14" s="1065"/>
      <c r="F14" s="1065"/>
      <c r="G14" s="1065"/>
      <c r="H14" s="1065"/>
      <c r="I14" s="1065"/>
      <c r="J14" s="1065"/>
      <c r="K14" s="1065"/>
      <c r="L14" s="1065"/>
      <c r="M14" s="426"/>
      <c r="N14" s="426"/>
      <c r="O14" s="426"/>
      <c r="P14" s="426"/>
      <c r="Q14" s="143"/>
      <c r="R14" s="426"/>
      <c r="S14" s="142"/>
      <c r="T14" s="142"/>
      <c r="U14" s="142"/>
      <c r="V14" s="142"/>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09765625" defaultRowHeight="14.25" customHeight="1"/>
  <cols>
    <col min="1" max="1" width="9.09765625" style="1560" hidden="1"/>
    <col min="2" max="2" width="9.09765625" style="1292" hidden="1"/>
    <col min="3" max="3" width="3.69921875" style="1560" hidden="1" customWidth="1"/>
    <col min="4" max="4" width="3.796875" style="1770" customWidth="1"/>
    <col min="5" max="5" width="10.09765625" style="1560" customWidth="1"/>
    <col min="6" max="6" width="6.296875" style="1560" customWidth="1"/>
    <col min="7" max="7" width="27.296875" style="1560" customWidth="1"/>
    <col min="8" max="8" width="29.296875" style="1560" customWidth="1"/>
    <col min="9" max="9" width="25.3984375" style="1560" customWidth="1"/>
    <col min="10" max="10" width="5.59765625" style="1560" customWidth="1"/>
    <col min="11" max="11" width="6.59765625" style="1560" customWidth="1"/>
    <col min="12" max="12" width="41.796875" style="1560" customWidth="1"/>
    <col min="13" max="13" width="42.3984375" style="1560" customWidth="1"/>
    <col min="14" max="14" width="41.59765625" style="1560" customWidth="1"/>
    <col min="15" max="15" width="64.09765625" style="1560" customWidth="1"/>
    <col min="16" max="16" width="3.69921875" style="1549" customWidth="1"/>
    <col min="17" max="19" width="9.09765625" style="1549"/>
    <col min="20" max="20" width="25.69921875" style="1549" customWidth="1"/>
    <col min="21" max="21" width="14.3984375" style="1549" customWidth="1"/>
    <col min="22" max="25" width="9.09765625" style="142"/>
    <col min="26" max="259" width="9.09765625" style="1560"/>
  </cols>
  <sheetData>
    <row r="1" spans="1:259" ht="14.25" hidden="1" customHeight="1"/>
    <row r="2" spans="1:259" s="1796" customFormat="1" ht="22.5" hidden="1" customHeight="1">
      <c r="A2" s="422"/>
      <c r="B2" s="1070">
        <v>1</v>
      </c>
      <c r="C2" s="1070"/>
      <c r="D2" s="719"/>
      <c r="E2" s="1840"/>
      <c r="F2" s="1840">
        <v>1</v>
      </c>
      <c r="G2" s="2119" t="str">
        <f>IF(region_name="","",region_name)</f>
        <v>Костромская область</v>
      </c>
      <c r="H2" s="2221"/>
      <c r="I2" s="2222"/>
      <c r="J2" s="400"/>
      <c r="K2" s="1404">
        <v>1</v>
      </c>
      <c r="L2" s="1074"/>
      <c r="M2" s="1074"/>
      <c r="N2" s="1074"/>
      <c r="O2" s="1074"/>
      <c r="P2" s="1455" t="e">
        <f ca="1">MERGEVALUE(G2)</f>
        <v>#NAME?</v>
      </c>
      <c r="Q2" s="437"/>
      <c r="R2" s="437"/>
      <c r="S2" s="426" t="str">
        <f t="array" ref="S2">IF(ISERROR(MATCH(MID(T2,1,250),MID(note_ter,1,250),0)),"n","y")</f>
        <v>n</v>
      </c>
      <c r="T2" s="437"/>
      <c r="U2" s="426"/>
      <c r="V2" s="1070"/>
      <c r="W2" s="1070"/>
      <c r="X2" s="349"/>
      <c r="Y2" s="1070"/>
      <c r="Z2" s="1070"/>
      <c r="AA2" s="1070"/>
      <c r="AB2" s="351"/>
      <c r="AC2" s="351"/>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348"/>
      <c r="BX2" s="348"/>
      <c r="BY2" s="351"/>
      <c r="BZ2" s="351"/>
      <c r="CA2" s="351"/>
      <c r="CB2" s="351"/>
      <c r="CC2" s="351"/>
      <c r="CD2" s="351"/>
      <c r="CE2" s="351"/>
      <c r="CF2" s="351"/>
      <c r="CG2" s="351"/>
      <c r="CH2" s="351"/>
    </row>
    <row r="3" spans="1:259" s="1796" customFormat="1" ht="22.5" hidden="1" customHeight="1">
      <c r="A3" s="749"/>
      <c r="B3" s="1070"/>
      <c r="C3" s="1070"/>
      <c r="D3" s="719"/>
      <c r="E3" s="1840"/>
      <c r="F3" s="1840"/>
      <c r="G3" s="2119"/>
      <c r="H3" s="2221"/>
      <c r="I3" s="2013"/>
      <c r="J3" s="1464"/>
      <c r="K3" s="1420"/>
      <c r="L3" s="1420" t="s">
        <v>2163</v>
      </c>
      <c r="M3" s="1467"/>
      <c r="N3" s="1467"/>
      <c r="O3" s="1468"/>
      <c r="P3" s="1455"/>
      <c r="Q3" s="437"/>
      <c r="R3" s="437"/>
      <c r="S3" s="426"/>
      <c r="T3" s="437"/>
      <c r="U3" s="426"/>
      <c r="V3" s="1070"/>
      <c r="W3" s="1070"/>
      <c r="X3" s="349"/>
      <c r="Y3" s="1070"/>
      <c r="Z3" s="1070"/>
      <c r="AA3" s="1070"/>
      <c r="AB3" s="351"/>
      <c r="AC3" s="351"/>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51"/>
      <c r="BZ3" s="351"/>
      <c r="CA3" s="351"/>
      <c r="CB3" s="351"/>
      <c r="CC3" s="351"/>
      <c r="CD3" s="351"/>
      <c r="CE3" s="351"/>
      <c r="CF3" s="351"/>
      <c r="CG3" s="351"/>
      <c r="CH3" s="351"/>
    </row>
    <row r="4" spans="1:259" s="1567" customFormat="1" ht="5.25" hidden="1" customHeight="1">
      <c r="A4" s="422"/>
      <c r="D4" s="420"/>
      <c r="G4" s="162" t="s">
        <v>82</v>
      </c>
      <c r="H4" s="420" t="s">
        <v>83</v>
      </c>
      <c r="I4" s="420"/>
      <c r="J4" s="1469"/>
      <c r="K4" s="1469"/>
      <c r="L4" s="1469"/>
      <c r="M4" s="1469"/>
      <c r="N4" s="1469"/>
      <c r="O4" s="1469"/>
      <c r="P4" s="162" t="s">
        <v>82</v>
      </c>
      <c r="Q4" s="162"/>
      <c r="R4" s="162"/>
      <c r="S4" s="162"/>
      <c r="T4" s="163"/>
      <c r="U4" s="162"/>
      <c r="V4" s="162"/>
      <c r="W4" s="162"/>
      <c r="X4" s="162"/>
      <c r="Y4" s="162"/>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row>
    <row r="5" spans="1:259" s="1748" customFormat="1" ht="14.25" customHeight="1">
      <c r="A5" s="1065"/>
      <c r="B5" s="1070"/>
      <c r="C5" s="1065"/>
      <c r="D5" s="1415"/>
      <c r="E5" s="435"/>
      <c r="F5" s="435"/>
      <c r="G5" s="435"/>
      <c r="H5" s="435"/>
      <c r="I5" s="435"/>
      <c r="J5" s="435"/>
      <c r="K5" s="435"/>
      <c r="L5" s="435"/>
      <c r="M5" s="435"/>
      <c r="N5" s="435"/>
      <c r="O5" s="435"/>
      <c r="P5" s="162"/>
      <c r="Q5" s="426"/>
      <c r="R5" s="426"/>
      <c r="S5" s="426"/>
      <c r="T5" s="143"/>
      <c r="U5" s="426"/>
      <c r="V5" s="142"/>
      <c r="W5" s="142"/>
      <c r="X5" s="142"/>
      <c r="Y5" s="142"/>
    </row>
    <row r="6" spans="1:259" s="1748" customFormat="1" ht="25.5" customHeight="1">
      <c r="A6" s="1065"/>
      <c r="B6" s="1070"/>
      <c r="C6" s="1065"/>
      <c r="D6" s="1415"/>
      <c r="E6" s="1826" t="s">
        <v>2164</v>
      </c>
      <c r="F6" s="1826"/>
      <c r="G6" s="1826"/>
      <c r="H6" s="1826"/>
      <c r="I6" s="1826"/>
      <c r="J6" s="1826"/>
      <c r="K6" s="1826"/>
      <c r="L6" s="1826"/>
      <c r="M6" s="1826"/>
      <c r="N6" s="1826"/>
      <c r="O6" s="1826"/>
      <c r="P6" s="162"/>
      <c r="Q6" s="426"/>
      <c r="R6" s="426"/>
      <c r="S6" s="426"/>
      <c r="T6" s="143"/>
      <c r="U6" s="426"/>
      <c r="V6" s="142"/>
      <c r="W6" s="142"/>
      <c r="X6" s="142"/>
      <c r="Y6" s="142"/>
    </row>
    <row r="7" spans="1:259" s="1748" customFormat="1" ht="14.25" customHeight="1">
      <c r="A7" s="1065"/>
      <c r="B7" s="1070"/>
      <c r="C7" s="1065"/>
      <c r="D7" s="1415"/>
      <c r="E7" s="435"/>
      <c r="F7" s="435"/>
      <c r="G7" s="85"/>
      <c r="H7" s="85"/>
      <c r="I7" s="85"/>
      <c r="J7" s="85"/>
      <c r="K7" s="85"/>
      <c r="L7" s="85"/>
      <c r="M7" s="85"/>
      <c r="N7" s="85"/>
      <c r="O7" s="85"/>
      <c r="P7" s="426"/>
      <c r="Q7" s="426"/>
      <c r="R7" s="426"/>
      <c r="S7" s="426"/>
      <c r="T7" s="143"/>
      <c r="U7" s="426"/>
      <c r="V7" s="142"/>
      <c r="W7" s="142"/>
      <c r="X7" s="142"/>
      <c r="Y7" s="142"/>
    </row>
    <row r="8" spans="1:259" s="1473" customFormat="1" ht="42.75" customHeight="1">
      <c r="A8" s="1389"/>
      <c r="B8" s="1398"/>
      <c r="C8" s="1389"/>
      <c r="D8" s="1415"/>
      <c r="E8" s="1478" t="s">
        <v>283</v>
      </c>
      <c r="F8" s="1478"/>
      <c r="G8" s="1479" t="s">
        <v>287</v>
      </c>
      <c r="H8" s="1479" t="s">
        <v>2165</v>
      </c>
      <c r="I8" s="1479" t="s">
        <v>292</v>
      </c>
      <c r="J8" s="2226"/>
      <c r="K8" s="2227"/>
      <c r="L8" s="2228"/>
      <c r="M8" s="1479" t="s">
        <v>2166</v>
      </c>
      <c r="N8" s="1479" t="s">
        <v>2167</v>
      </c>
      <c r="O8" s="1479" t="s">
        <v>2168</v>
      </c>
      <c r="P8" s="1470"/>
      <c r="Q8" s="1470"/>
      <c r="R8" s="1470"/>
      <c r="S8" s="1470"/>
      <c r="T8" s="1471"/>
      <c r="U8" s="1470"/>
      <c r="V8" s="1472"/>
      <c r="W8" s="1472"/>
      <c r="X8" s="1472"/>
      <c r="Y8" s="1472"/>
    </row>
    <row r="9" spans="1:259" s="1748" customFormat="1" ht="47.25" customHeight="1">
      <c r="A9" s="1065"/>
      <c r="B9" s="1070"/>
      <c r="C9" s="1065"/>
      <c r="D9" s="1415"/>
      <c r="E9" s="1950" t="s">
        <v>282</v>
      </c>
      <c r="F9" s="2217" t="s">
        <v>87</v>
      </c>
      <c r="G9" s="2217" t="s">
        <v>286</v>
      </c>
      <c r="H9" s="2217" t="s">
        <v>2169</v>
      </c>
      <c r="I9" s="2217"/>
      <c r="J9" s="2217" t="s">
        <v>2170</v>
      </c>
      <c r="K9" s="2217"/>
      <c r="L9" s="2217"/>
      <c r="M9" s="2217" t="s">
        <v>2171</v>
      </c>
      <c r="N9" s="2217" t="s">
        <v>2172</v>
      </c>
      <c r="O9" s="221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6"/>
      <c r="Q9" s="426"/>
      <c r="R9" s="426"/>
      <c r="S9" s="426"/>
      <c r="T9" s="143"/>
      <c r="U9" s="426"/>
      <c r="V9" s="142"/>
      <c r="W9" s="142"/>
      <c r="X9" s="142"/>
      <c r="Y9" s="142"/>
    </row>
    <row r="10" spans="1:259" s="1748" customFormat="1" ht="63.75" customHeight="1">
      <c r="A10" s="1065"/>
      <c r="B10" s="1070"/>
      <c r="C10" s="1065"/>
      <c r="D10" s="1415"/>
      <c r="E10" s="1840"/>
      <c r="F10" s="2225"/>
      <c r="G10" s="2225"/>
      <c r="H10" s="90" t="s">
        <v>2173</v>
      </c>
      <c r="I10" s="90" t="s">
        <v>291</v>
      </c>
      <c r="J10" s="2216"/>
      <c r="K10" s="2216"/>
      <c r="L10" s="2225"/>
      <c r="M10" s="2225"/>
      <c r="N10" s="2225"/>
      <c r="O10" s="2225"/>
      <c r="P10" s="426"/>
      <c r="Q10" s="426"/>
      <c r="R10" s="426"/>
      <c r="S10" s="426"/>
      <c r="T10" s="143"/>
      <c r="U10" s="426"/>
      <c r="V10" s="142"/>
      <c r="W10" s="142"/>
      <c r="X10" s="142"/>
      <c r="Y10" s="142"/>
    </row>
    <row r="11" spans="1:259" s="1796" customFormat="1" ht="22.5" customHeight="1">
      <c r="A11" s="1825">
        <v>26379339</v>
      </c>
      <c r="B11" s="1070">
        <v>1</v>
      </c>
      <c r="C11" s="1070"/>
      <c r="D11" s="719"/>
      <c r="E11" s="1950"/>
      <c r="F11" s="1950">
        <v>1</v>
      </c>
      <c r="G11" s="2223" t="str">
        <f>IF(region_name="","",region_name)</f>
        <v>Костромская область</v>
      </c>
      <c r="H11" s="2224"/>
      <c r="I11" s="2229"/>
      <c r="J11" s="400"/>
      <c r="K11" s="1404">
        <v>1</v>
      </c>
      <c r="L11" s="1480"/>
      <c r="M11" s="1466"/>
      <c r="N11" s="1466"/>
      <c r="O11" s="1465"/>
      <c r="P11" s="1455" t="e">
        <f ca="1">MERGEVALUE(G11)</f>
        <v>#NAME?</v>
      </c>
      <c r="Q11" s="437"/>
      <c r="R11" s="437"/>
      <c r="S11" s="426" t="str">
        <f t="array" ref="S11">IF(ISERROR(MATCH(MID(T11,1,250),MID(note_ter,1,250),0)),"n","y")</f>
        <v>n</v>
      </c>
      <c r="T11" s="437"/>
      <c r="U11" s="426"/>
      <c r="V11" s="1070"/>
      <c r="W11" s="1070"/>
      <c r="X11" s="349"/>
      <c r="Y11" s="1070"/>
      <c r="Z11" s="1070"/>
      <c r="AA11" s="1070"/>
      <c r="AB11" s="351"/>
      <c r="AC11" s="351"/>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51"/>
      <c r="BZ11" s="351"/>
      <c r="CA11" s="351"/>
      <c r="CB11" s="351"/>
      <c r="CC11" s="351"/>
      <c r="CD11" s="351"/>
      <c r="CE11" s="351"/>
      <c r="CF11" s="351"/>
      <c r="CG11" s="351"/>
      <c r="CH11" s="351"/>
    </row>
    <row r="12" spans="1:259" s="1796" customFormat="1" ht="22.5" customHeight="1">
      <c r="A12" s="1825"/>
      <c r="B12" s="1070"/>
      <c r="C12" s="1070"/>
      <c r="D12" s="719"/>
      <c r="E12" s="1950"/>
      <c r="F12" s="1950"/>
      <c r="G12" s="2223"/>
      <c r="H12" s="2224"/>
      <c r="I12" s="2019"/>
      <c r="J12" s="1464"/>
      <c r="K12" s="1420"/>
      <c r="L12" s="1420" t="s">
        <v>2163</v>
      </c>
      <c r="M12" s="1467"/>
      <c r="N12" s="1467"/>
      <c r="O12" s="1468"/>
      <c r="P12" s="1455"/>
      <c r="Q12" s="437"/>
      <c r="R12" s="437"/>
      <c r="S12" s="426"/>
      <c r="T12" s="437"/>
      <c r="U12" s="426"/>
      <c r="V12" s="1070"/>
      <c r="W12" s="1070"/>
      <c r="X12" s="349"/>
      <c r="Y12" s="1070"/>
      <c r="Z12" s="1070"/>
      <c r="AA12" s="1070"/>
      <c r="AB12" s="351"/>
      <c r="AC12" s="351"/>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51"/>
      <c r="BZ12" s="351"/>
      <c r="CA12" s="351"/>
      <c r="CB12" s="351"/>
      <c r="CC12" s="351"/>
      <c r="CD12" s="351"/>
      <c r="CE12" s="351"/>
      <c r="CF12" s="351"/>
      <c r="CG12" s="351"/>
      <c r="CH12" s="351"/>
    </row>
    <row r="13" spans="1:259" s="1796" customFormat="1" ht="22.5" customHeight="1">
      <c r="A13" s="1825"/>
      <c r="B13" s="1070"/>
      <c r="C13" s="342"/>
      <c r="D13" s="719"/>
      <c r="E13" s="1461"/>
      <c r="F13" s="1464"/>
      <c r="G13" s="1420" t="s">
        <v>2157</v>
      </c>
      <c r="H13" s="1462"/>
      <c r="I13" s="1462"/>
      <c r="J13" s="105"/>
      <c r="K13" s="105"/>
      <c r="L13" s="105"/>
      <c r="M13" s="105"/>
      <c r="N13" s="105"/>
      <c r="O13" s="1463"/>
      <c r="P13" s="1456"/>
      <c r="Q13" s="437"/>
      <c r="R13" s="437"/>
      <c r="S13" s="437"/>
      <c r="T13" s="426"/>
      <c r="U13" s="437"/>
      <c r="V13" s="1070"/>
      <c r="W13" s="1070"/>
      <c r="X13" s="349"/>
      <c r="Y13" s="1070"/>
      <c r="Z13" s="1070"/>
      <c r="AA13" s="1070"/>
      <c r="AB13" s="351"/>
      <c r="AC13" s="351"/>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51"/>
      <c r="BZ13" s="351"/>
      <c r="CA13" s="351"/>
      <c r="CB13" s="351"/>
      <c r="CC13" s="351"/>
      <c r="CD13" s="351"/>
      <c r="CE13" s="351"/>
      <c r="CF13" s="351"/>
      <c r="CG13" s="351"/>
      <c r="CH13" s="351"/>
    </row>
    <row r="14" spans="1:259" s="1748" customFormat="1" ht="21" customHeight="1">
      <c r="A14" s="1065"/>
      <c r="B14" s="1070"/>
      <c r="C14" s="1065"/>
      <c r="D14" s="378"/>
      <c r="E14" s="98"/>
      <c r="F14" s="98"/>
      <c r="G14" s="98"/>
      <c r="H14" s="98"/>
      <c r="I14" s="98"/>
      <c r="J14" s="98"/>
      <c r="K14" s="98"/>
      <c r="L14" s="98"/>
      <c r="M14" s="98"/>
      <c r="N14" s="435"/>
      <c r="O14" s="435"/>
      <c r="P14" s="426"/>
      <c r="Q14" s="426"/>
      <c r="R14" s="426"/>
      <c r="S14" s="426"/>
      <c r="T14" s="143"/>
      <c r="U14" s="426"/>
      <c r="V14" s="142"/>
      <c r="W14" s="142"/>
      <c r="X14" s="142"/>
      <c r="Y14" s="142"/>
    </row>
    <row r="15" spans="1:259" s="1748" customFormat="1" ht="14.25" customHeight="1">
      <c r="A15" s="1065"/>
      <c r="B15" s="1070"/>
      <c r="C15" s="1065"/>
      <c r="D15" s="378"/>
      <c r="E15" s="1065"/>
      <c r="F15" s="1065"/>
      <c r="G15" s="1065"/>
      <c r="H15" s="1065"/>
      <c r="I15" s="1065"/>
      <c r="J15" s="1065"/>
      <c r="K15" s="1065"/>
      <c r="L15" s="1065"/>
      <c r="M15" s="1065"/>
      <c r="N15" s="1065"/>
      <c r="O15" s="1065"/>
      <c r="P15" s="426"/>
      <c r="Q15" s="426"/>
      <c r="R15" s="426"/>
      <c r="S15" s="426"/>
      <c r="T15" s="143"/>
      <c r="U15" s="426"/>
      <c r="V15" s="142"/>
      <c r="W15" s="142"/>
      <c r="X15" s="142"/>
      <c r="Y15" s="142"/>
    </row>
    <row r="16" spans="1:259" s="1748" customFormat="1" ht="0.75" customHeight="1">
      <c r="A16" s="1065"/>
      <c r="B16" s="1070"/>
      <c r="C16" s="1065"/>
      <c r="D16" s="378"/>
      <c r="E16" s="1065"/>
      <c r="F16" s="1065"/>
      <c r="G16" s="1065"/>
      <c r="H16" s="1065"/>
      <c r="I16" s="1065"/>
      <c r="J16" s="1065"/>
      <c r="K16" s="1065"/>
      <c r="L16" s="1065"/>
      <c r="M16" s="1065"/>
      <c r="N16" s="1065"/>
      <c r="O16" s="1065"/>
      <c r="P16" s="426"/>
      <c r="Q16" s="426"/>
      <c r="R16" s="426"/>
      <c r="S16" s="426"/>
      <c r="T16" s="143"/>
      <c r="U16" s="426"/>
      <c r="V16" s="142"/>
      <c r="W16" s="142"/>
      <c r="X16" s="142"/>
      <c r="Y16" s="142"/>
    </row>
  </sheetData>
  <sheetProtection formatColumns="0" formatRows="0" insertRows="0" deleteColumns="0" deleteRows="0" sort="0" autoFilter="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12" width="9.09765625" style="179"/>
  </cols>
  <sheetData>
    <row r="1" spans="3:6" ht="14.25" hidden="1" customHeight="1"/>
    <row r="2" spans="3:6" ht="14.25" hidden="1" customHeight="1"/>
    <row r="3" spans="3:6" ht="14.25" hidden="1" customHeight="1"/>
    <row r="4" spans="3:6" ht="14.25" hidden="1" customHeight="1"/>
    <row r="5" spans="3:6" ht="14.25" hidden="1" customHeight="1"/>
    <row r="6" spans="3:6" ht="3" customHeight="1">
      <c r="C6" s="21"/>
      <c r="D6" s="3"/>
      <c r="E6" s="3"/>
    </row>
    <row r="7" spans="3:6" ht="22.5" customHeight="1">
      <c r="C7" s="21"/>
      <c r="D7" s="1826" t="s">
        <v>2174</v>
      </c>
      <c r="E7" s="1826"/>
      <c r="F7" s="182"/>
    </row>
    <row r="8" spans="3:6" ht="3" customHeight="1">
      <c r="C8" s="21"/>
      <c r="D8" s="3"/>
      <c r="E8" s="3"/>
    </row>
    <row r="9" spans="3:6" ht="15.75" customHeight="1">
      <c r="C9" s="21"/>
      <c r="D9" s="32" t="s">
        <v>87</v>
      </c>
      <c r="E9" s="35" t="s">
        <v>269</v>
      </c>
    </row>
    <row r="10" spans="3:6" ht="12" customHeight="1">
      <c r="C10" s="21"/>
      <c r="D10" s="18" t="s">
        <v>105</v>
      </c>
      <c r="E10" s="18" t="s">
        <v>106</v>
      </c>
    </row>
    <row r="11" spans="3:6" ht="15" hidden="1" customHeight="1">
      <c r="C11" s="21"/>
      <c r="D11" s="39">
        <v>0</v>
      </c>
      <c r="E11" s="69"/>
    </row>
    <row r="12" spans="3:6" ht="14.25" customHeight="1">
      <c r="C12" s="21"/>
      <c r="D12" s="36"/>
      <c r="E12" s="34" t="s">
        <v>2134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796" customWidth="1"/>
    <col min="2" max="2" width="34.59765625" style="1796" customWidth="1"/>
    <col min="3" max="3" width="85.59765625" style="1796" customWidth="1"/>
    <col min="4" max="4" width="17.69921875" style="1796" customWidth="1"/>
    <col min="5" max="5" width="9.09765625" style="1796"/>
  </cols>
  <sheetData>
    <row r="1" spans="2:5" ht="3" customHeight="1"/>
    <row r="2" spans="2:5" ht="22.5" customHeight="1">
      <c r="B2" s="2230" t="s">
        <v>2175</v>
      </c>
      <c r="C2" s="2230"/>
      <c r="D2" s="2230"/>
      <c r="E2" s="183"/>
    </row>
    <row r="3" spans="2:5" ht="3" customHeight="1"/>
    <row r="4" spans="2:5" ht="21.75" customHeight="1">
      <c r="B4" s="1801" t="s">
        <v>2176</v>
      </c>
      <c r="C4" s="312" t="s">
        <v>2177</v>
      </c>
      <c r="D4" s="312" t="s">
        <v>2178</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9"/>
  <sheetViews>
    <sheetView showGridLines="0" tabSelected="1" topLeftCell="C32" zoomScale="90" workbookViewId="0">
      <selection activeCell="G38" sqref="G38:G42"/>
    </sheetView>
  </sheetViews>
  <sheetFormatPr defaultColWidth="9.09765625" defaultRowHeight="11.25" customHeight="1"/>
  <cols>
    <col min="1" max="1" width="15" style="1611" hidden="1" customWidth="1"/>
    <col min="2" max="2" width="15" style="427" hidden="1" customWidth="1"/>
    <col min="3" max="3" width="3.69921875" style="381" customWidth="1"/>
    <col min="4" max="4" width="6.796875" style="382" customWidth="1"/>
    <col min="5" max="5" width="52.296875" style="381" customWidth="1"/>
    <col min="6" max="6" width="48.796875" style="381" customWidth="1"/>
    <col min="7" max="7" width="121.69921875" style="381" customWidth="1"/>
    <col min="8" max="8" width="9.09765625" style="381"/>
    <col min="9" max="9" width="65" style="381" customWidth="1"/>
  </cols>
  <sheetData>
    <row r="1" spans="1:9" ht="11.25" hidden="1" customHeight="1">
      <c r="A1" s="1611" t="s">
        <v>281</v>
      </c>
    </row>
    <row r="2" spans="1:9" ht="11.25" hidden="1" customHeight="1"/>
    <row r="3" spans="1:9" s="403" customFormat="1" ht="11.25" customHeight="1">
      <c r="A3" s="1611"/>
      <c r="B3" s="427"/>
      <c r="D3" s="404"/>
    </row>
    <row r="4" spans="1:9" ht="36.75" customHeight="1">
      <c r="D4" s="1833" t="str">
        <f>ORG_INFO_NAME_FORM</f>
        <v>Форма 1. Информация о регулируемой организации, осуществляющей холодное водоснабжение
(далее – регулируемая организация) (общая информация)</v>
      </c>
      <c r="E4" s="1834"/>
      <c r="F4" s="1835"/>
      <c r="I4" s="634"/>
    </row>
    <row r="5" spans="1:9" ht="17.25" customHeight="1">
      <c r="D5" s="1927" t="str">
        <f>IF(org=0,"Не определено",org)</f>
        <v>НАО "СВЕЗА Мантурово"</v>
      </c>
      <c r="E5" s="1927"/>
      <c r="F5" s="1927"/>
      <c r="I5" s="634"/>
    </row>
    <row r="6" spans="1:9" s="403" customFormat="1" ht="11.25" customHeight="1">
      <c r="A6" s="1611"/>
      <c r="B6" s="427"/>
      <c r="D6" s="633"/>
      <c r="E6" s="633"/>
      <c r="F6" s="671"/>
      <c r="G6" s="633"/>
    </row>
    <row r="7" spans="1:9" ht="11.25" hidden="1" customHeight="1">
      <c r="A7" s="383"/>
      <c r="B7" s="428"/>
      <c r="C7" s="383"/>
      <c r="D7" s="389"/>
      <c r="E7" s="1923"/>
      <c r="F7" s="1923"/>
    </row>
    <row r="8" spans="1:9" ht="11.25" customHeight="1">
      <c r="A8" s="383"/>
      <c r="B8" s="428"/>
      <c r="C8" s="383"/>
      <c r="D8" s="1919" t="s">
        <v>282</v>
      </c>
      <c r="E8" s="1920"/>
      <c r="F8" s="1920"/>
      <c r="G8" s="1924" t="s">
        <v>283</v>
      </c>
    </row>
    <row r="9" spans="1:9" ht="11.25" customHeight="1">
      <c r="A9" s="383"/>
      <c r="B9" s="428"/>
      <c r="C9" s="383"/>
      <c r="D9" s="398" t="s">
        <v>87</v>
      </c>
      <c r="E9" s="374" t="s">
        <v>284</v>
      </c>
      <c r="F9" s="374" t="s">
        <v>285</v>
      </c>
      <c r="G9" s="1925"/>
    </row>
    <row r="10" spans="1:9" ht="12" hidden="1" customHeight="1">
      <c r="A10" s="383"/>
      <c r="B10" s="428"/>
      <c r="C10" s="383"/>
      <c r="D10" s="390"/>
      <c r="E10" s="390"/>
      <c r="F10" s="390"/>
      <c r="G10" s="390"/>
    </row>
    <row r="11" spans="1:9" ht="22.5" hidden="1" customHeight="1">
      <c r="A11" s="383"/>
      <c r="B11" s="428"/>
      <c r="C11" s="383"/>
      <c r="D11" s="925" t="s">
        <v>105</v>
      </c>
      <c r="E11" s="928" t="s">
        <v>286</v>
      </c>
      <c r="F11" s="927" t="str">
        <f>IF(region_name="","",region_name)</f>
        <v>Костромская область</v>
      </c>
      <c r="G11" s="928" t="s">
        <v>287</v>
      </c>
      <c r="H11" s="401"/>
    </row>
    <row r="12" spans="1:9" ht="22.5" hidden="1" customHeight="1">
      <c r="A12" s="383"/>
      <c r="B12" s="428"/>
      <c r="C12" s="383"/>
      <c r="D12" s="373" t="s">
        <v>105</v>
      </c>
      <c r="E12" s="37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1" t="s">
        <v>288</v>
      </c>
      <c r="G12" s="400"/>
      <c r="H12" s="401"/>
    </row>
    <row r="13" spans="1:9" ht="22.5" customHeight="1">
      <c r="A13" s="383"/>
      <c r="B13" s="428"/>
      <c r="C13" s="383"/>
      <c r="D13" s="373" t="s">
        <v>105</v>
      </c>
      <c r="E13" s="370" t="str">
        <f>"Наименование юридического лица"&amp;IF(TEMPLATE_SPHERE="TKO"," (индивидуального предпринимателя)","")</f>
        <v>Наименование юридического лица</v>
      </c>
      <c r="F13" s="369" t="s">
        <v>289</v>
      </c>
      <c r="G13" s="37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1"/>
    </row>
    <row r="14" spans="1:9" ht="22.5" hidden="1" customHeight="1">
      <c r="A14" s="383"/>
      <c r="B14" s="428"/>
      <c r="C14" s="383"/>
      <c r="D14" s="925" t="s">
        <v>290</v>
      </c>
      <c r="E14" s="926" t="s">
        <v>291</v>
      </c>
      <c r="F14" s="927" t="str">
        <f>IF(inn="","",inn)</f>
        <v>4404000349</v>
      </c>
      <c r="G14" s="928" t="s">
        <v>292</v>
      </c>
      <c r="H14" s="401"/>
    </row>
    <row r="15" spans="1:9" ht="22.5" hidden="1" customHeight="1">
      <c r="A15" s="383"/>
      <c r="B15" s="428"/>
      <c r="C15" s="383"/>
      <c r="D15" s="925" t="s">
        <v>293</v>
      </c>
      <c r="E15" s="926" t="s">
        <v>294</v>
      </c>
      <c r="F15" s="927" t="str">
        <f>IF(kpp="","",kpp)</f>
        <v>440401001</v>
      </c>
      <c r="G15" s="928" t="s">
        <v>295</v>
      </c>
      <c r="H15" s="401"/>
    </row>
    <row r="16" spans="1:9" ht="36.75" customHeight="1">
      <c r="A16" s="383"/>
      <c r="B16" s="428"/>
      <c r="C16" s="383"/>
      <c r="D16" s="373" t="s">
        <v>106</v>
      </c>
      <c r="E16" s="37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9" t="s">
        <v>296</v>
      </c>
      <c r="G16" s="37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1"/>
    </row>
    <row r="17" spans="1:9" ht="22.5" customHeight="1">
      <c r="A17" s="383"/>
      <c r="B17" s="428"/>
      <c r="C17" s="383"/>
      <c r="D17" s="373" t="s">
        <v>89</v>
      </c>
      <c r="E17" s="370" t="str">
        <f>"Дата присвоения ОГРН"&amp;IF(TEMPLATE_SPHERE="TKO",""," (ОГРНИП)")</f>
        <v>Дата присвоения ОГРН (ОГРНИП)</v>
      </c>
      <c r="F17" s="1656">
        <v>44848</v>
      </c>
      <c r="G17" s="372" t="str">
        <f>"Дата присвоения ОГРН"&amp;IF(TEMPLATE_SPHERE="TKO",""," (ОГРНИП)")&amp;" указывается в виде «ДД.ММ.ГГГГ»."</f>
        <v>Дата присвоения ОГРН (ОГРНИП) указывается в виде «ДД.ММ.ГГГГ».</v>
      </c>
      <c r="H17" s="401"/>
    </row>
    <row r="18" spans="1:9" ht="56.25" customHeight="1">
      <c r="A18" s="383"/>
      <c r="B18" s="428"/>
      <c r="C18" s="383"/>
      <c r="D18" s="373" t="s">
        <v>90</v>
      </c>
      <c r="E18" s="37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9" t="s">
        <v>297</v>
      </c>
      <c r="G18" s="400"/>
      <c r="H18" s="401"/>
    </row>
    <row r="19" spans="1:9" ht="22.5" hidden="1" customHeight="1">
      <c r="A19" s="1921">
        <v>1</v>
      </c>
      <c r="B19" s="428"/>
      <c r="C19" s="1926"/>
      <c r="D19" s="368">
        <v>5</v>
      </c>
      <c r="E19" s="370" t="s">
        <v>298</v>
      </c>
      <c r="F19" s="371" t="s">
        <v>288</v>
      </c>
      <c r="G19" s="372" t="s">
        <v>299</v>
      </c>
      <c r="H19" s="401"/>
      <c r="I19" s="770"/>
    </row>
    <row r="20" spans="1:9" ht="33.75" hidden="1" customHeight="1">
      <c r="A20" s="1921"/>
      <c r="B20" s="428"/>
      <c r="C20" s="1926"/>
      <c r="D20" s="373" t="s">
        <v>300</v>
      </c>
      <c r="E20" s="367" t="s">
        <v>301</v>
      </c>
      <c r="F20" s="798" t="s">
        <v>18</v>
      </c>
      <c r="G20" s="400"/>
      <c r="H20" s="401"/>
      <c r="I20" s="770"/>
    </row>
    <row r="21" spans="1:9" ht="22.5" hidden="1" customHeight="1">
      <c r="A21" s="1921"/>
      <c r="B21" s="428"/>
      <c r="C21" s="1926"/>
      <c r="D21" s="373" t="s">
        <v>302</v>
      </c>
      <c r="E21" s="367" t="s">
        <v>303</v>
      </c>
      <c r="F21" s="1657" t="s">
        <v>18</v>
      </c>
      <c r="G21" s="372" t="s">
        <v>304</v>
      </c>
      <c r="H21" s="401"/>
      <c r="I21" s="770"/>
    </row>
    <row r="22" spans="1:9" ht="22.5" hidden="1" customHeight="1">
      <c r="A22" s="1921"/>
      <c r="B22" s="428"/>
      <c r="C22" s="1926"/>
      <c r="D22" s="373" t="s">
        <v>305</v>
      </c>
      <c r="E22" s="367" t="s">
        <v>306</v>
      </c>
      <c r="F22" s="798" t="s">
        <v>18</v>
      </c>
      <c r="G22" s="400"/>
      <c r="H22" s="401"/>
      <c r="I22" s="770"/>
    </row>
    <row r="23" spans="1:9" ht="22.5" hidden="1" customHeight="1">
      <c r="A23" s="1921"/>
      <c r="B23" s="428"/>
      <c r="C23" s="1926"/>
      <c r="D23" s="373" t="s">
        <v>307</v>
      </c>
      <c r="E23" s="367" t="s">
        <v>308</v>
      </c>
      <c r="F23" s="798" t="s">
        <v>18</v>
      </c>
      <c r="G23" s="372" t="s">
        <v>309</v>
      </c>
      <c r="H23" s="401"/>
      <c r="I23" s="770"/>
    </row>
    <row r="24" spans="1:9" s="427" customFormat="1" ht="24.75" hidden="1" customHeight="1">
      <c r="A24" s="383"/>
      <c r="B24" s="428"/>
      <c r="C24" s="428"/>
      <c r="D24" s="922" t="s">
        <v>89</v>
      </c>
      <c r="E24" s="924" t="s">
        <v>310</v>
      </c>
      <c r="F24" s="929" t="s">
        <v>288</v>
      </c>
      <c r="G24" s="924"/>
    </row>
    <row r="25" spans="1:9" s="427" customFormat="1" ht="11.25" hidden="1" customHeight="1">
      <c r="A25" s="383"/>
      <c r="B25" s="428"/>
      <c r="C25" s="428"/>
      <c r="D25" s="922" t="s">
        <v>311</v>
      </c>
      <c r="E25" s="923" t="s">
        <v>312</v>
      </c>
      <c r="F25" s="929" t="s">
        <v>288</v>
      </c>
      <c r="G25" s="924"/>
    </row>
    <row r="26" spans="1:9" s="427" customFormat="1" ht="11.25" hidden="1" customHeight="1">
      <c r="A26" s="383"/>
      <c r="B26" s="428"/>
      <c r="C26" s="428"/>
      <c r="D26" s="922" t="s">
        <v>313</v>
      </c>
      <c r="E26" s="930" t="s">
        <v>314</v>
      </c>
      <c r="F26" s="931"/>
      <c r="G26" s="92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427" customFormat="1" ht="11.25" hidden="1" customHeight="1">
      <c r="A27" s="383"/>
      <c r="B27" s="428"/>
      <c r="C27" s="428"/>
      <c r="D27" s="922" t="s">
        <v>315</v>
      </c>
      <c r="E27" s="930" t="s">
        <v>316</v>
      </c>
      <c r="F27" s="931"/>
      <c r="G27" s="92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427" customFormat="1" ht="11.25" hidden="1" customHeight="1">
      <c r="A28" s="383"/>
      <c r="B28" s="428"/>
      <c r="C28" s="428"/>
      <c r="D28" s="922" t="s">
        <v>317</v>
      </c>
      <c r="E28" s="930" t="s">
        <v>318</v>
      </c>
      <c r="F28" s="931"/>
      <c r="G28" s="92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427" customFormat="1" ht="11.25" hidden="1" customHeight="1">
      <c r="A29" s="383"/>
      <c r="B29" s="428"/>
      <c r="C29" s="428"/>
      <c r="D29" s="922" t="s">
        <v>319</v>
      </c>
      <c r="E29" s="923" t="s">
        <v>320</v>
      </c>
      <c r="F29" s="931"/>
      <c r="G29" s="924"/>
    </row>
    <row r="30" spans="1:9" s="427" customFormat="1" ht="11.25" hidden="1" customHeight="1">
      <c r="A30" s="383"/>
      <c r="B30" s="428"/>
      <c r="C30" s="428"/>
      <c r="D30" s="922" t="s">
        <v>321</v>
      </c>
      <c r="E30" s="923" t="s">
        <v>322</v>
      </c>
      <c r="F30" s="931"/>
      <c r="G30" s="924"/>
    </row>
    <row r="31" spans="1:9" s="427" customFormat="1" ht="11.25" hidden="1" customHeight="1">
      <c r="A31" s="383"/>
      <c r="B31" s="428"/>
      <c r="C31" s="428"/>
      <c r="D31" s="922" t="s">
        <v>323</v>
      </c>
      <c r="E31" s="923" t="s">
        <v>324</v>
      </c>
      <c r="F31" s="932"/>
      <c r="G31" s="924"/>
    </row>
    <row r="32" spans="1:9" ht="22.5" customHeight="1">
      <c r="A32" s="383" t="str">
        <f>IF(TEMPLATE_SPHERE="HEAT","6","5")</f>
        <v>5</v>
      </c>
      <c r="B32" s="428"/>
      <c r="C32" s="383"/>
      <c r="D32" s="368" t="str">
        <f>A32</f>
        <v>5</v>
      </c>
      <c r="E32" s="36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1" t="s">
        <v>288</v>
      </c>
      <c r="G32" s="400"/>
      <c r="H32" s="401"/>
    </row>
    <row r="33" spans="1:8" ht="22.5" customHeight="1">
      <c r="A33" s="383"/>
      <c r="B33" s="428"/>
      <c r="C33" s="383"/>
      <c r="D33" s="368" t="str">
        <f>D32&amp;".1"</f>
        <v>5.1</v>
      </c>
      <c r="E33" s="370" t="str">
        <f>"фамилия"&amp;IF(TEMPLATE_SPHERE&lt;&gt;"HEAT"," руководителя","")</f>
        <v>фамилия руководителя</v>
      </c>
      <c r="F33" s="369" t="s">
        <v>325</v>
      </c>
      <c r="G33" s="37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1"/>
    </row>
    <row r="34" spans="1:8" ht="22.5" customHeight="1">
      <c r="A34" s="383"/>
      <c r="B34" s="428"/>
      <c r="C34" s="383"/>
      <c r="D34" s="368" t="str">
        <f>D32&amp;".2"</f>
        <v>5.2</v>
      </c>
      <c r="E34" s="370" t="str">
        <f>"имя"&amp;IF(TEMPLATE_SPHERE&lt;&gt;"HEAT"," руководителя","")</f>
        <v>имя руководителя</v>
      </c>
      <c r="F34" s="369" t="s">
        <v>326</v>
      </c>
      <c r="G34" s="37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1"/>
    </row>
    <row r="35" spans="1:8" ht="22.5" customHeight="1">
      <c r="A35" s="383"/>
      <c r="B35" s="428"/>
      <c r="C35" s="383"/>
      <c r="D35" s="368" t="str">
        <f>D32&amp;".3"</f>
        <v>5.3</v>
      </c>
      <c r="E35" s="370" t="str">
        <f>"отчество"&amp;IF(TEMPLATE_SPHERE&lt;&gt;"HEAT"," руководителя","")</f>
        <v>отчество руководителя</v>
      </c>
      <c r="F35" s="618" t="s">
        <v>327</v>
      </c>
      <c r="G35" s="37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1"/>
    </row>
    <row r="36" spans="1:8" ht="33.75" customHeight="1">
      <c r="A36" s="383"/>
      <c r="B36" s="428"/>
      <c r="C36" s="383"/>
      <c r="D36" s="368">
        <f>D32+1</f>
        <v>6</v>
      </c>
      <c r="E36" s="36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69" t="s">
        <v>70</v>
      </c>
      <c r="G36" s="372" t="s">
        <v>328</v>
      </c>
      <c r="H36" s="401"/>
    </row>
    <row r="37" spans="1:8" ht="33.75" customHeight="1">
      <c r="A37" s="383"/>
      <c r="B37" s="428"/>
      <c r="C37" s="383"/>
      <c r="D37" s="368">
        <f>D36+1</f>
        <v>7</v>
      </c>
      <c r="E37" s="36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69" t="s">
        <v>329</v>
      </c>
      <c r="G37" s="372" t="s">
        <v>328</v>
      </c>
      <c r="H37" s="401"/>
    </row>
    <row r="38" spans="1:8" ht="22.5" customHeight="1">
      <c r="A38" s="383"/>
      <c r="B38" s="428"/>
      <c r="C38" s="383"/>
      <c r="D38" s="368">
        <f>D37+1</f>
        <v>8</v>
      </c>
      <c r="E38" s="36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1" t="s">
        <v>288</v>
      </c>
      <c r="G38" s="192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1"/>
    </row>
    <row r="39" spans="1:8" ht="22.5" hidden="1" customHeight="1">
      <c r="A39" s="383"/>
      <c r="B39" s="428"/>
      <c r="C39" s="383"/>
      <c r="D39" s="368" t="str">
        <f>D38&amp;".0"</f>
        <v>8.0</v>
      </c>
      <c r="E39" s="1534"/>
      <c r="F39" s="798"/>
      <c r="G39" s="1929"/>
      <c r="H39" s="401"/>
    </row>
    <row r="40" spans="1:8" ht="22.5" customHeight="1">
      <c r="A40" s="383"/>
      <c r="B40" s="383"/>
      <c r="C40" s="1613"/>
      <c r="D40" s="368" t="str">
        <f>D38&amp;".1"</f>
        <v>8.1</v>
      </c>
      <c r="E40" s="778" t="s">
        <v>330</v>
      </c>
      <c r="F40" s="779" t="s">
        <v>331</v>
      </c>
      <c r="G40" s="1929"/>
      <c r="H40" s="401"/>
    </row>
    <row r="41" spans="1:8" ht="22.5" customHeight="1">
      <c r="A41" s="383"/>
      <c r="B41" s="383"/>
      <c r="C41" s="383" t="s">
        <v>332</v>
      </c>
      <c r="D41" s="368" t="s">
        <v>333</v>
      </c>
      <c r="E41" s="778" t="s">
        <v>334</v>
      </c>
      <c r="F41" s="779" t="s">
        <v>79</v>
      </c>
      <c r="G41" s="1861"/>
      <c r="H41" s="401"/>
    </row>
    <row r="42" spans="1:8" ht="15" customHeight="1">
      <c r="A42" s="383"/>
      <c r="B42" s="428"/>
      <c r="C42" s="383"/>
      <c r="D42" s="393"/>
      <c r="E42" s="345" t="s">
        <v>335</v>
      </c>
      <c r="F42" s="395"/>
      <c r="G42" s="1930"/>
      <c r="H42" s="402"/>
    </row>
    <row r="43" spans="1:8" ht="25.5" customHeight="1">
      <c r="A43" s="383"/>
      <c r="B43" s="428"/>
      <c r="C43" s="383"/>
      <c r="D43" s="368">
        <f>D38+1</f>
        <v>9</v>
      </c>
      <c r="E43" s="36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798" t="s">
        <v>336</v>
      </c>
      <c r="G43" s="37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01"/>
    </row>
    <row r="44" spans="1:8" ht="22.5" customHeight="1">
      <c r="A44" s="383"/>
      <c r="B44" s="428"/>
      <c r="C44" s="383"/>
      <c r="D44" s="368">
        <f>D43+1</f>
        <v>10</v>
      </c>
      <c r="E44" s="36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1799" t="s">
        <v>337</v>
      </c>
      <c r="G44" s="400" t="s">
        <v>338</v>
      </c>
      <c r="H44" s="401"/>
    </row>
    <row r="45" spans="1:8" ht="22.5" customHeight="1">
      <c r="A45" s="383"/>
      <c r="B45" s="428"/>
      <c r="C45" s="383"/>
      <c r="D45" s="368">
        <f>D44+1</f>
        <v>11</v>
      </c>
      <c r="E45" s="366" t="s">
        <v>339</v>
      </c>
      <c r="F45" s="371" t="s">
        <v>288</v>
      </c>
      <c r="G45" s="365" t="str">
        <f>IF(TEMPLATE_SPHERE="TKO","Указывается режим работы организации.","")</f>
        <v/>
      </c>
      <c r="H45" s="401"/>
    </row>
    <row r="46" spans="1:8" ht="22.5" customHeight="1">
      <c r="A46" s="383"/>
      <c r="B46" s="428"/>
      <c r="C46" s="383"/>
      <c r="D46" s="368" t="str">
        <f>D45&amp;".1"</f>
        <v>11.1</v>
      </c>
      <c r="E46" s="370" t="str">
        <f>"режим работы регулируемой организации"&amp;IF(TEMPLATE_SPHERE="HEAT",", ЕТО, ТО","")</f>
        <v>режим работы регулируемой организации</v>
      </c>
      <c r="F46" s="1609" t="s">
        <v>340</v>
      </c>
      <c r="G46" s="365" t="s">
        <v>341</v>
      </c>
      <c r="H46" s="401"/>
    </row>
    <row r="47" spans="1:8" ht="22.5" customHeight="1">
      <c r="A47" s="1917"/>
      <c r="B47" s="428"/>
      <c r="C47" s="418"/>
      <c r="D47" s="368" t="str">
        <f>D45&amp;".2"</f>
        <v>11.2</v>
      </c>
      <c r="E47" s="370" t="s">
        <v>342</v>
      </c>
      <c r="F47" s="416" t="s">
        <v>340</v>
      </c>
      <c r="G47" s="365" t="s">
        <v>343</v>
      </c>
      <c r="H47" s="401"/>
    </row>
    <row r="48" spans="1:8" ht="22.5" customHeight="1">
      <c r="A48" s="1917"/>
      <c r="B48" s="428"/>
      <c r="C48" s="418"/>
      <c r="D48" s="368" t="str">
        <f>D45&amp;".3"</f>
        <v>11.3</v>
      </c>
      <c r="E48" s="370" t="s">
        <v>344</v>
      </c>
      <c r="F48" s="416" t="s">
        <v>340</v>
      </c>
      <c r="G48" s="365" t="s">
        <v>345</v>
      </c>
      <c r="H48" s="401"/>
    </row>
    <row r="49" spans="1:9" ht="22.5" customHeight="1">
      <c r="A49" s="1917"/>
      <c r="B49" s="428"/>
      <c r="C49" s="418"/>
      <c r="D49" s="368" t="str">
        <f>IF(TEMPLATE_SPHERE="TKO",D45&amp;".0",D45&amp;".4")</f>
        <v>11.4</v>
      </c>
      <c r="E49" s="364" t="s">
        <v>346</v>
      </c>
      <c r="F49" s="1610" t="s">
        <v>347</v>
      </c>
      <c r="G49" s="1686" t="s">
        <v>348</v>
      </c>
      <c r="H49" s="401"/>
    </row>
    <row r="50" spans="1:9" ht="22.5" customHeight="1">
      <c r="A50" s="383"/>
      <c r="B50" s="428"/>
      <c r="C50" s="383"/>
      <c r="D50" s="393"/>
      <c r="E50" s="345" t="s">
        <v>349</v>
      </c>
      <c r="F50" s="394"/>
      <c r="G50" s="1686" t="s">
        <v>350</v>
      </c>
      <c r="H50" s="402"/>
    </row>
    <row r="51" spans="1:9" ht="22.5" customHeight="1">
      <c r="A51" s="776"/>
      <c r="B51" s="428"/>
      <c r="C51" s="418"/>
      <c r="D51" s="368">
        <f>D45+1</f>
        <v>12</v>
      </c>
      <c r="E51" s="454" t="s">
        <v>351</v>
      </c>
      <c r="F51" s="416" t="s">
        <v>56</v>
      </c>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01"/>
    </row>
    <row r="52" spans="1:9" ht="11.25" customHeight="1">
      <c r="A52" s="383"/>
      <c r="B52" s="428"/>
      <c r="C52" s="383"/>
    </row>
    <row r="53" spans="1:9" s="386" customFormat="1" ht="30" customHeight="1">
      <c r="A53" s="1612"/>
      <c r="B53" s="429"/>
      <c r="C53" s="1918"/>
      <c r="D53" s="192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1922"/>
      <c r="F53" s="1922"/>
      <c r="G53" s="1922"/>
      <c r="H53" s="380"/>
      <c r="I53" s="380"/>
    </row>
    <row r="54" spans="1:9" s="386" customFormat="1" ht="39.75" customHeight="1">
      <c r="A54" s="383"/>
      <c r="B54" s="428"/>
      <c r="C54" s="1918"/>
      <c r="D54" s="192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1922"/>
      <c r="F54" s="1922"/>
      <c r="G54" s="1922"/>
    </row>
    <row r="55" spans="1:9" ht="11.25" customHeight="1">
      <c r="D55" s="384"/>
      <c r="E55" s="385"/>
      <c r="F55" s="385"/>
      <c r="G55" s="385"/>
    </row>
    <row r="56" spans="1:9" ht="27" customHeight="1">
      <c r="D56" s="387"/>
      <c r="E56" s="384"/>
      <c r="F56" s="396"/>
      <c r="G56" s="396"/>
    </row>
    <row r="57" spans="1:9" ht="11.25" customHeight="1">
      <c r="D57" s="384"/>
      <c r="E57" s="384"/>
      <c r="F57" s="385"/>
      <c r="G57" s="385"/>
    </row>
    <row r="58" spans="1:9" ht="39" customHeight="1">
      <c r="D58" s="388"/>
      <c r="E58" s="397"/>
      <c r="F58" s="397"/>
      <c r="G58" s="397"/>
    </row>
    <row r="59" spans="1:9" ht="27" customHeight="1">
      <c r="D59" s="388"/>
      <c r="E59" s="397"/>
      <c r="F59" s="397"/>
      <c r="G59" s="397"/>
    </row>
  </sheetData>
  <sheetProtection formatColumns="0" formatRows="0" insertRows="0" deleteColumns="0" deleteRows="0" sort="0" autoFilter="0"/>
  <mergeCells count="12">
    <mergeCell ref="D4:F4"/>
    <mergeCell ref="A47:A49"/>
    <mergeCell ref="C53:C54"/>
    <mergeCell ref="D8:F8"/>
    <mergeCell ref="A19:A23"/>
    <mergeCell ref="D53:G53"/>
    <mergeCell ref="D54:G54"/>
    <mergeCell ref="E7:F7"/>
    <mergeCell ref="G8:G9"/>
    <mergeCell ref="C19:C23"/>
    <mergeCell ref="D5:F5"/>
    <mergeCell ref="G38:G42"/>
  </mergeCells>
  <dataValidations count="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6:F31 F16 F22:F23 F18 F20 F33:F37 F39:F40 E39:E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E41">
      <formula1>900</formula1>
    </dataValidation>
    <dataValidation type="textLength" operator="lessThanOrEqual" allowBlank="1" showInputMessage="1" showErrorMessage="1" errorTitle="Ошибка" error="Допускается ввод не более 900 символов!" sqref="F41">
      <formula1>900</formula1>
    </dataValidation>
  </dataValidations>
  <hyperlinks>
    <hyperlink ref="F43" r:id="rId1"/>
    <hyperlink ref="F44"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customWidth="1"/>
    <col min="2" max="2" width="8.69921875" customWidth="1"/>
    <col min="3" max="3" width="18.09765625" customWidth="1"/>
    <col min="4" max="4" width="12.59765625" customWidth="1"/>
  </cols>
  <sheetData>
    <row r="1" spans="1:5" ht="11.25" customHeight="1">
      <c r="A1" s="672" t="s">
        <v>2179</v>
      </c>
      <c r="B1" s="683" t="s">
        <v>2180</v>
      </c>
      <c r="C1" s="2231" t="s">
        <v>2181</v>
      </c>
      <c r="D1" s="2232"/>
      <c r="E1" s="754" t="s">
        <v>2182</v>
      </c>
    </row>
    <row r="2" spans="1:5" ht="11.25" customHeight="1">
      <c r="A2" s="676"/>
      <c r="B2" s="684" t="s">
        <v>23</v>
      </c>
      <c r="C2" s="672"/>
      <c r="D2" s="683"/>
      <c r="E2" s="754"/>
    </row>
    <row r="3" spans="1:5" ht="11.25" customHeight="1">
      <c r="A3" s="687"/>
      <c r="B3" s="685" t="s">
        <v>29</v>
      </c>
      <c r="C3" s="672"/>
      <c r="D3" s="683"/>
      <c r="E3" s="754"/>
    </row>
    <row r="4" spans="1:5" ht="11.25" customHeight="1">
      <c r="A4" s="688"/>
      <c r="B4" s="685" t="s">
        <v>1077</v>
      </c>
      <c r="C4" s="672"/>
      <c r="D4" s="683"/>
      <c r="E4" s="754"/>
    </row>
    <row r="5" spans="1:5" ht="11.25" customHeight="1">
      <c r="A5" s="699"/>
      <c r="B5" s="685" t="s">
        <v>1070</v>
      </c>
      <c r="C5" s="675" t="s">
        <v>1325</v>
      </c>
      <c r="D5" s="797" t="s">
        <v>2183</v>
      </c>
      <c r="E5" s="754"/>
    </row>
    <row r="6" spans="1:5" s="1796" customFormat="1" ht="11.25" customHeight="1">
      <c r="A6" s="686"/>
      <c r="B6" s="685" t="s">
        <v>1083</v>
      </c>
      <c r="C6" s="672"/>
      <c r="D6" s="683"/>
      <c r="E6" s="754"/>
    </row>
    <row r="7" spans="1:5" ht="11.25" customHeight="1">
      <c r="A7" s="674"/>
      <c r="B7" s="685" t="s">
        <v>1093</v>
      </c>
      <c r="C7" s="672"/>
      <c r="D7" s="683"/>
      <c r="E7" s="754"/>
    </row>
    <row r="8" spans="1:5" ht="11.25" customHeight="1">
      <c r="A8" s="675"/>
      <c r="B8" s="685" t="s">
        <v>1088</v>
      </c>
      <c r="C8" s="672"/>
      <c r="D8" s="683"/>
      <c r="E8" s="75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796"/>
    <col min="3" max="3" width="20.69921875" style="1796" customWidth="1"/>
    <col min="4" max="4" width="25.09765625" style="1796" customWidth="1"/>
    <col min="5" max="9" width="9.09765625" style="1796"/>
  </cols>
  <sheetData>
    <row r="1" spans="1:9" ht="11.25" customHeight="1">
      <c r="A1" t="s">
        <v>2184</v>
      </c>
      <c r="B1" t="s">
        <v>2185</v>
      </c>
      <c r="C1" t="s">
        <v>2186</v>
      </c>
      <c r="D1" t="s">
        <v>2187</v>
      </c>
      <c r="E1" t="s">
        <v>2188</v>
      </c>
      <c r="F1" t="s">
        <v>2189</v>
      </c>
      <c r="G1" t="s">
        <v>2190</v>
      </c>
      <c r="H1" t="s">
        <v>2191</v>
      </c>
      <c r="I1" t="s">
        <v>2192</v>
      </c>
    </row>
    <row r="2" spans="1:9" ht="11.25" customHeight="1">
      <c r="A2" s="1796" t="s">
        <v>2193</v>
      </c>
      <c r="B2" s="1796" t="s">
        <v>14</v>
      </c>
      <c r="C2" s="1796" t="s">
        <v>2194</v>
      </c>
      <c r="D2" s="1796" t="s">
        <v>2195</v>
      </c>
      <c r="E2" s="1796" t="s">
        <v>2196</v>
      </c>
      <c r="F2" s="1796" t="s">
        <v>2197</v>
      </c>
      <c r="G2" s="1796" t="s">
        <v>2198</v>
      </c>
      <c r="H2" s="1796" t="s">
        <v>18</v>
      </c>
      <c r="I2" s="1796" t="s">
        <v>607</v>
      </c>
    </row>
    <row r="3" spans="1:9" ht="11.25" customHeight="1">
      <c r="A3" s="1796" t="s">
        <v>2193</v>
      </c>
      <c r="B3" s="1796" t="s">
        <v>14</v>
      </c>
      <c r="C3" s="1796" t="s">
        <v>2199</v>
      </c>
      <c r="D3" s="1796" t="s">
        <v>2200</v>
      </c>
      <c r="E3" s="1796" t="s">
        <v>2201</v>
      </c>
      <c r="F3" s="1796" t="s">
        <v>2202</v>
      </c>
      <c r="G3" s="1796" t="s">
        <v>18</v>
      </c>
      <c r="H3" s="1796" t="s">
        <v>18</v>
      </c>
      <c r="I3" s="1796" t="s">
        <v>607</v>
      </c>
    </row>
    <row r="4" spans="1:9" ht="11.25" customHeight="1">
      <c r="A4" s="1796" t="s">
        <v>2193</v>
      </c>
      <c r="B4" s="1796" t="s">
        <v>14</v>
      </c>
      <c r="C4" s="1796" t="s">
        <v>2203</v>
      </c>
      <c r="D4" s="1796" t="s">
        <v>2204</v>
      </c>
      <c r="E4" s="1796" t="s">
        <v>2205</v>
      </c>
      <c r="F4" s="1796" t="s">
        <v>2206</v>
      </c>
      <c r="G4" s="1796" t="s">
        <v>2207</v>
      </c>
      <c r="H4" s="1796" t="s">
        <v>18</v>
      </c>
      <c r="I4" s="1796" t="s">
        <v>607</v>
      </c>
    </row>
    <row r="5" spans="1:9" ht="11.25" customHeight="1">
      <c r="A5" s="1796" t="s">
        <v>2193</v>
      </c>
      <c r="B5" s="1796" t="s">
        <v>14</v>
      </c>
      <c r="C5" s="1796" t="s">
        <v>2208</v>
      </c>
      <c r="D5" s="1796" t="s">
        <v>2209</v>
      </c>
      <c r="E5" s="1796" t="s">
        <v>2210</v>
      </c>
      <c r="F5" s="1796" t="s">
        <v>2211</v>
      </c>
      <c r="G5" s="1796" t="s">
        <v>2212</v>
      </c>
      <c r="H5" s="1796" t="s">
        <v>18</v>
      </c>
      <c r="I5" s="1796" t="s">
        <v>607</v>
      </c>
    </row>
    <row r="6" spans="1:9" ht="11.25" customHeight="1">
      <c r="A6" s="1796" t="s">
        <v>2193</v>
      </c>
      <c r="B6" s="1796" t="s">
        <v>14</v>
      </c>
      <c r="C6" s="1796" t="s">
        <v>2213</v>
      </c>
      <c r="D6" s="1796" t="s">
        <v>2214</v>
      </c>
      <c r="E6" s="1796" t="s">
        <v>2215</v>
      </c>
      <c r="F6" s="1796" t="s">
        <v>2216</v>
      </c>
      <c r="G6" s="1796" t="s">
        <v>2217</v>
      </c>
      <c r="H6" s="1796" t="s">
        <v>18</v>
      </c>
      <c r="I6" s="1796" t="s">
        <v>607</v>
      </c>
    </row>
    <row r="7" spans="1:9" ht="11.25" customHeight="1">
      <c r="A7" s="1796" t="s">
        <v>2193</v>
      </c>
      <c r="B7" s="1796" t="s">
        <v>14</v>
      </c>
      <c r="C7" s="1796" t="s">
        <v>2218</v>
      </c>
      <c r="D7" s="1796" t="s">
        <v>2219</v>
      </c>
      <c r="E7" s="1796" t="s">
        <v>2220</v>
      </c>
      <c r="F7" s="1796" t="s">
        <v>2221</v>
      </c>
      <c r="G7" s="1796" t="s">
        <v>2222</v>
      </c>
      <c r="H7" s="1796" t="s">
        <v>18</v>
      </c>
      <c r="I7" s="1796" t="s">
        <v>607</v>
      </c>
    </row>
    <row r="8" spans="1:9" ht="11.25" customHeight="1">
      <c r="A8" s="1796" t="s">
        <v>2193</v>
      </c>
      <c r="B8" s="1796" t="s">
        <v>14</v>
      </c>
      <c r="C8" s="1796" t="s">
        <v>2223</v>
      </c>
      <c r="D8" s="1796" t="s">
        <v>2224</v>
      </c>
      <c r="E8" s="1796" t="s">
        <v>2225</v>
      </c>
      <c r="F8" s="1796" t="s">
        <v>2226</v>
      </c>
      <c r="G8" s="1796" t="s">
        <v>2227</v>
      </c>
      <c r="H8" s="1796" t="s">
        <v>18</v>
      </c>
      <c r="I8" s="1796" t="s">
        <v>607</v>
      </c>
    </row>
    <row r="9" spans="1:9" ht="11.25" customHeight="1">
      <c r="A9" s="1796" t="s">
        <v>2193</v>
      </c>
      <c r="B9" s="1796" t="s">
        <v>14</v>
      </c>
      <c r="C9" s="1796" t="s">
        <v>2228</v>
      </c>
      <c r="D9" s="1796" t="s">
        <v>2229</v>
      </c>
      <c r="E9" s="1796" t="s">
        <v>2230</v>
      </c>
      <c r="F9" s="1796" t="s">
        <v>2231</v>
      </c>
      <c r="G9" s="1796" t="s">
        <v>18</v>
      </c>
      <c r="H9" s="1796" t="s">
        <v>18</v>
      </c>
      <c r="I9" s="1796" t="s">
        <v>607</v>
      </c>
    </row>
    <row r="10" spans="1:9" ht="11.25" customHeight="1">
      <c r="A10" s="1796" t="s">
        <v>2193</v>
      </c>
      <c r="B10" s="1796" t="s">
        <v>14</v>
      </c>
      <c r="C10" s="1796" t="s">
        <v>2232</v>
      </c>
      <c r="D10" s="1796" t="s">
        <v>2233</v>
      </c>
      <c r="E10" s="1796" t="s">
        <v>2234</v>
      </c>
      <c r="F10" s="1796" t="s">
        <v>2235</v>
      </c>
      <c r="G10" s="1796" t="s">
        <v>18</v>
      </c>
      <c r="H10" s="1796" t="s">
        <v>18</v>
      </c>
      <c r="I10" s="1796" t="s">
        <v>607</v>
      </c>
    </row>
    <row r="11" spans="1:9" ht="11.25" customHeight="1">
      <c r="A11" s="1796" t="s">
        <v>2193</v>
      </c>
      <c r="B11" s="1796" t="s">
        <v>14</v>
      </c>
      <c r="C11" s="1796" t="s">
        <v>2236</v>
      </c>
      <c r="D11" s="1796" t="s">
        <v>2237</v>
      </c>
      <c r="E11" s="1796" t="s">
        <v>2238</v>
      </c>
      <c r="F11" s="1796" t="s">
        <v>2239</v>
      </c>
      <c r="G11" s="1796" t="s">
        <v>2240</v>
      </c>
      <c r="H11" s="1796" t="s">
        <v>18</v>
      </c>
      <c r="I11" s="1796" t="s">
        <v>607</v>
      </c>
    </row>
    <row r="12" spans="1:9" ht="11.25" customHeight="1">
      <c r="A12" s="1796" t="s">
        <v>2193</v>
      </c>
      <c r="B12" s="1796" t="s">
        <v>14</v>
      </c>
      <c r="C12" s="1796" t="s">
        <v>2241</v>
      </c>
      <c r="D12" s="1796" t="s">
        <v>2242</v>
      </c>
      <c r="E12" s="1796" t="s">
        <v>2243</v>
      </c>
      <c r="F12" s="1796" t="s">
        <v>2244</v>
      </c>
      <c r="G12" s="1796" t="s">
        <v>2245</v>
      </c>
      <c r="H12" s="1796" t="s">
        <v>18</v>
      </c>
      <c r="I12" s="1796" t="s">
        <v>607</v>
      </c>
    </row>
    <row r="13" spans="1:9" ht="11.25" customHeight="1">
      <c r="A13" s="1796" t="s">
        <v>2193</v>
      </c>
      <c r="B13" s="1796" t="s">
        <v>14</v>
      </c>
      <c r="C13" s="1796" t="s">
        <v>18</v>
      </c>
      <c r="D13" s="1796" t="s">
        <v>2246</v>
      </c>
      <c r="E13" s="1796" t="s">
        <v>2247</v>
      </c>
      <c r="F13" s="1796" t="s">
        <v>2239</v>
      </c>
      <c r="G13" s="1796" t="s">
        <v>18</v>
      </c>
      <c r="H13" s="1796" t="s">
        <v>18</v>
      </c>
      <c r="I13" s="1796" t="s">
        <v>607</v>
      </c>
    </row>
    <row r="14" spans="1:9" ht="11.25" customHeight="1">
      <c r="A14" s="1796" t="s">
        <v>2193</v>
      </c>
      <c r="B14" s="1796" t="s">
        <v>14</v>
      </c>
      <c r="C14" s="1796" t="s">
        <v>2248</v>
      </c>
      <c r="D14" s="1796" t="s">
        <v>2249</v>
      </c>
      <c r="E14" s="1796" t="s">
        <v>2210</v>
      </c>
      <c r="F14" s="1796" t="s">
        <v>2239</v>
      </c>
      <c r="G14" s="1796" t="s">
        <v>18</v>
      </c>
      <c r="H14" s="1796" t="s">
        <v>18</v>
      </c>
      <c r="I14" s="1796" t="s">
        <v>607</v>
      </c>
    </row>
    <row r="15" spans="1:9" ht="11.25" customHeight="1">
      <c r="A15" s="1796" t="s">
        <v>2193</v>
      </c>
      <c r="B15" s="1796" t="s">
        <v>14</v>
      </c>
      <c r="C15" s="1796" t="s">
        <v>2250</v>
      </c>
      <c r="D15" s="1796" t="s">
        <v>2251</v>
      </c>
      <c r="E15" s="1796" t="s">
        <v>2252</v>
      </c>
      <c r="F15" s="1796" t="s">
        <v>2211</v>
      </c>
      <c r="G15" s="1796" t="s">
        <v>2253</v>
      </c>
      <c r="H15" s="1796" t="s">
        <v>18</v>
      </c>
      <c r="I15" s="1796" t="s">
        <v>607</v>
      </c>
    </row>
    <row r="16" spans="1:9" ht="11.25" customHeight="1">
      <c r="A16" s="1796" t="s">
        <v>2193</v>
      </c>
      <c r="B16" s="1796" t="s">
        <v>14</v>
      </c>
      <c r="C16" s="1796" t="s">
        <v>2254</v>
      </c>
      <c r="D16" s="1796" t="s">
        <v>2255</v>
      </c>
      <c r="E16" s="1796" t="s">
        <v>2256</v>
      </c>
      <c r="F16" s="1796" t="s">
        <v>2239</v>
      </c>
      <c r="G16" s="1796" t="s">
        <v>2257</v>
      </c>
      <c r="H16" s="1796" t="s">
        <v>18</v>
      </c>
      <c r="I16" s="1796" t="s">
        <v>607</v>
      </c>
    </row>
    <row r="17" spans="1:9" ht="11.25" customHeight="1">
      <c r="A17" s="1796" t="s">
        <v>2193</v>
      </c>
      <c r="B17" s="1796" t="s">
        <v>14</v>
      </c>
      <c r="C17" s="1796" t="s">
        <v>2258</v>
      </c>
      <c r="D17" s="1796" t="s">
        <v>2259</v>
      </c>
      <c r="E17" s="1796" t="s">
        <v>2260</v>
      </c>
      <c r="F17" s="1796" t="s">
        <v>2261</v>
      </c>
      <c r="G17" s="1796" t="s">
        <v>18</v>
      </c>
      <c r="H17" s="1796" t="s">
        <v>18</v>
      </c>
      <c r="I17" s="1796" t="s">
        <v>607</v>
      </c>
    </row>
    <row r="18" spans="1:9" ht="11.25" customHeight="1">
      <c r="A18" s="1796" t="s">
        <v>2193</v>
      </c>
      <c r="B18" s="1796" t="s">
        <v>14</v>
      </c>
      <c r="C18" s="1796" t="s">
        <v>2262</v>
      </c>
      <c r="D18" s="1796" t="s">
        <v>2263</v>
      </c>
      <c r="E18" s="1796" t="s">
        <v>2264</v>
      </c>
      <c r="F18" s="1796" t="s">
        <v>433</v>
      </c>
      <c r="G18" s="1796" t="s">
        <v>2265</v>
      </c>
      <c r="H18" s="1796" t="s">
        <v>18</v>
      </c>
      <c r="I18" s="1796" t="s">
        <v>607</v>
      </c>
    </row>
    <row r="19" spans="1:9" ht="11.25" customHeight="1">
      <c r="A19" s="1796" t="s">
        <v>2193</v>
      </c>
      <c r="B19" s="1796" t="s">
        <v>14</v>
      </c>
      <c r="C19" s="1796" t="s">
        <v>2266</v>
      </c>
      <c r="D19" s="1796" t="s">
        <v>2267</v>
      </c>
      <c r="E19" s="1796" t="s">
        <v>2268</v>
      </c>
      <c r="F19" s="1796" t="s">
        <v>433</v>
      </c>
      <c r="G19" s="1796" t="s">
        <v>2269</v>
      </c>
      <c r="H19" s="1796" t="s">
        <v>18</v>
      </c>
      <c r="I19" s="1796" t="s">
        <v>607</v>
      </c>
    </row>
    <row r="20" spans="1:9" ht="11.25" customHeight="1">
      <c r="A20" s="1796" t="s">
        <v>2193</v>
      </c>
      <c r="B20" s="1796" t="s">
        <v>14</v>
      </c>
      <c r="C20" s="1796" t="s">
        <v>2270</v>
      </c>
      <c r="D20" s="1796" t="s">
        <v>2271</v>
      </c>
      <c r="E20" s="1796" t="s">
        <v>2272</v>
      </c>
      <c r="F20" s="1796" t="s">
        <v>433</v>
      </c>
      <c r="G20" s="1796" t="s">
        <v>2273</v>
      </c>
      <c r="H20" s="1796" t="s">
        <v>18</v>
      </c>
      <c r="I20" s="1796" t="s">
        <v>607</v>
      </c>
    </row>
    <row r="21" spans="1:9" ht="11.25" customHeight="1">
      <c r="A21" s="1796" t="s">
        <v>2193</v>
      </c>
      <c r="B21" s="1796" t="s">
        <v>14</v>
      </c>
      <c r="C21" s="1796" t="s">
        <v>2274</v>
      </c>
      <c r="D21" s="1796" t="s">
        <v>2275</v>
      </c>
      <c r="E21" s="1796" t="s">
        <v>2276</v>
      </c>
      <c r="F21" s="1796" t="s">
        <v>433</v>
      </c>
      <c r="G21" s="1796" t="s">
        <v>2277</v>
      </c>
      <c r="H21" s="1796" t="s">
        <v>18</v>
      </c>
      <c r="I21" s="1796" t="s">
        <v>607</v>
      </c>
    </row>
    <row r="22" spans="1:9" ht="11.25" customHeight="1">
      <c r="A22" s="1796" t="s">
        <v>2193</v>
      </c>
      <c r="B22" s="1796" t="s">
        <v>14</v>
      </c>
      <c r="C22" s="1796" t="s">
        <v>2278</v>
      </c>
      <c r="D22" s="1796" t="s">
        <v>2279</v>
      </c>
      <c r="E22" s="1796" t="s">
        <v>2280</v>
      </c>
      <c r="F22" s="1796" t="s">
        <v>2281</v>
      </c>
      <c r="G22" s="1796" t="s">
        <v>18</v>
      </c>
      <c r="H22" s="1796" t="s">
        <v>18</v>
      </c>
      <c r="I22" s="1796" t="s">
        <v>607</v>
      </c>
    </row>
    <row r="23" spans="1:9" ht="11.25" customHeight="1">
      <c r="A23" s="1796" t="s">
        <v>2193</v>
      </c>
      <c r="B23" s="1796" t="s">
        <v>14</v>
      </c>
      <c r="C23" s="1796" t="s">
        <v>2282</v>
      </c>
      <c r="D23" s="1796" t="s">
        <v>2283</v>
      </c>
      <c r="E23" s="1796" t="s">
        <v>2284</v>
      </c>
      <c r="F23" s="1796" t="s">
        <v>2221</v>
      </c>
      <c r="G23" s="1796" t="s">
        <v>2285</v>
      </c>
      <c r="H23" s="1796" t="s">
        <v>18</v>
      </c>
      <c r="I23" s="1796" t="s">
        <v>607</v>
      </c>
    </row>
    <row r="24" spans="1:9" ht="11.25" customHeight="1">
      <c r="A24" s="1796" t="s">
        <v>2193</v>
      </c>
      <c r="B24" s="1796" t="s">
        <v>14</v>
      </c>
      <c r="C24" s="1796" t="s">
        <v>2286</v>
      </c>
      <c r="D24" s="1796" t="s">
        <v>2287</v>
      </c>
      <c r="E24" s="1796" t="s">
        <v>2288</v>
      </c>
      <c r="F24" s="1796" t="s">
        <v>2221</v>
      </c>
      <c r="G24" s="1796" t="s">
        <v>18</v>
      </c>
      <c r="H24" s="1796" t="s">
        <v>18</v>
      </c>
      <c r="I24" s="1796" t="s">
        <v>607</v>
      </c>
    </row>
    <row r="25" spans="1:9" ht="11.25" customHeight="1">
      <c r="A25" s="1796" t="s">
        <v>2193</v>
      </c>
      <c r="B25" s="1796" t="s">
        <v>14</v>
      </c>
      <c r="C25" s="1796" t="s">
        <v>2289</v>
      </c>
      <c r="D25" s="1796" t="s">
        <v>2290</v>
      </c>
      <c r="E25" s="1796" t="s">
        <v>2291</v>
      </c>
      <c r="F25" s="1796" t="s">
        <v>2239</v>
      </c>
      <c r="G25" s="1796" t="s">
        <v>18</v>
      </c>
      <c r="H25" s="1796" t="s">
        <v>18</v>
      </c>
      <c r="I25" s="1796" t="s">
        <v>607</v>
      </c>
    </row>
    <row r="26" spans="1:9" ht="11.25" customHeight="1">
      <c r="A26" s="1796" t="s">
        <v>2193</v>
      </c>
      <c r="B26" s="1796" t="s">
        <v>14</v>
      </c>
      <c r="C26" s="1796" t="s">
        <v>2292</v>
      </c>
      <c r="D26" s="1796" t="s">
        <v>2293</v>
      </c>
      <c r="E26" s="1796" t="s">
        <v>2294</v>
      </c>
      <c r="F26" s="1796" t="s">
        <v>2295</v>
      </c>
      <c r="G26" s="1796" t="s">
        <v>18</v>
      </c>
      <c r="H26" s="1796" t="s">
        <v>18</v>
      </c>
      <c r="I26" s="1796" t="s">
        <v>607</v>
      </c>
    </row>
    <row r="27" spans="1:9" ht="11.25" customHeight="1">
      <c r="A27" s="1796" t="s">
        <v>2193</v>
      </c>
      <c r="B27" s="1796" t="s">
        <v>14</v>
      </c>
      <c r="C27" s="1796" t="s">
        <v>2296</v>
      </c>
      <c r="D27" s="1796" t="s">
        <v>2297</v>
      </c>
      <c r="E27" s="1796" t="s">
        <v>2298</v>
      </c>
      <c r="F27" s="1796" t="s">
        <v>2295</v>
      </c>
      <c r="G27" s="1796" t="s">
        <v>2299</v>
      </c>
      <c r="H27" s="1796" t="s">
        <v>18</v>
      </c>
      <c r="I27" s="1796" t="s">
        <v>607</v>
      </c>
    </row>
    <row r="28" spans="1:9" ht="11.25" customHeight="1">
      <c r="A28" s="1796" t="s">
        <v>2193</v>
      </c>
      <c r="B28" s="1796" t="s">
        <v>14</v>
      </c>
      <c r="C28" s="1796" t="s">
        <v>2300</v>
      </c>
      <c r="D28" s="1796" t="s">
        <v>2301</v>
      </c>
      <c r="E28" s="1796" t="s">
        <v>2302</v>
      </c>
      <c r="F28" s="1796" t="s">
        <v>2303</v>
      </c>
      <c r="G28" s="1796" t="s">
        <v>2304</v>
      </c>
      <c r="H28" s="1796" t="s">
        <v>18</v>
      </c>
      <c r="I28" s="1796" t="s">
        <v>607</v>
      </c>
    </row>
    <row r="29" spans="1:9" ht="11.25" customHeight="1">
      <c r="A29" s="1796" t="s">
        <v>2193</v>
      </c>
      <c r="B29" s="1796" t="s">
        <v>14</v>
      </c>
      <c r="C29" s="1796" t="s">
        <v>2305</v>
      </c>
      <c r="D29" s="1796" t="s">
        <v>2306</v>
      </c>
      <c r="E29" s="1796" t="s">
        <v>2307</v>
      </c>
      <c r="F29" s="1796" t="s">
        <v>2308</v>
      </c>
      <c r="G29" s="1796" t="s">
        <v>2309</v>
      </c>
      <c r="H29" s="1796" t="s">
        <v>18</v>
      </c>
      <c r="I29" s="1796" t="s">
        <v>607</v>
      </c>
    </row>
    <row r="30" spans="1:9" ht="11.25" customHeight="1">
      <c r="A30" s="1796" t="s">
        <v>2193</v>
      </c>
      <c r="B30" s="1796" t="s">
        <v>14</v>
      </c>
      <c r="C30" s="1796" t="s">
        <v>2310</v>
      </c>
      <c r="D30" s="1796" t="s">
        <v>2311</v>
      </c>
      <c r="E30" s="1796" t="s">
        <v>2312</v>
      </c>
      <c r="F30" s="1796" t="s">
        <v>2295</v>
      </c>
      <c r="G30" s="1796" t="s">
        <v>2313</v>
      </c>
      <c r="H30" s="1796" t="s">
        <v>18</v>
      </c>
      <c r="I30" s="1796" t="s">
        <v>607</v>
      </c>
    </row>
    <row r="31" spans="1:9" ht="11.25" customHeight="1">
      <c r="A31" s="1796" t="s">
        <v>2193</v>
      </c>
      <c r="B31" s="1796" t="s">
        <v>14</v>
      </c>
      <c r="C31" s="1796" t="s">
        <v>2314</v>
      </c>
      <c r="D31" s="1796" t="s">
        <v>2315</v>
      </c>
      <c r="E31" s="1796" t="s">
        <v>2316</v>
      </c>
      <c r="F31" s="1796" t="s">
        <v>2317</v>
      </c>
      <c r="G31" s="1796" t="s">
        <v>2318</v>
      </c>
      <c r="H31" s="1796" t="s">
        <v>18</v>
      </c>
      <c r="I31" s="1796" t="s">
        <v>607</v>
      </c>
    </row>
    <row r="32" spans="1:9" ht="11.25" customHeight="1">
      <c r="A32" s="1796" t="s">
        <v>2193</v>
      </c>
      <c r="B32" s="1796" t="s">
        <v>14</v>
      </c>
      <c r="C32" s="1796" t="s">
        <v>2319</v>
      </c>
      <c r="D32" s="1796" t="s">
        <v>2320</v>
      </c>
      <c r="E32" s="1796" t="s">
        <v>2321</v>
      </c>
      <c r="F32" s="1796" t="s">
        <v>2322</v>
      </c>
      <c r="G32" s="1796" t="s">
        <v>18</v>
      </c>
      <c r="H32" s="1796" t="s">
        <v>18</v>
      </c>
      <c r="I32" s="1796" t="s">
        <v>607</v>
      </c>
    </row>
    <row r="33" spans="1:9" ht="11.25" customHeight="1">
      <c r="A33" s="1796" t="s">
        <v>2193</v>
      </c>
      <c r="B33" s="1796" t="s">
        <v>14</v>
      </c>
      <c r="C33" s="1796" t="s">
        <v>2323</v>
      </c>
      <c r="D33" s="1796" t="s">
        <v>2324</v>
      </c>
      <c r="E33" s="1796" t="s">
        <v>2325</v>
      </c>
      <c r="F33" s="1796" t="s">
        <v>2202</v>
      </c>
      <c r="G33" s="1796" t="s">
        <v>2326</v>
      </c>
      <c r="H33" s="1796" t="s">
        <v>18</v>
      </c>
      <c r="I33" s="1796" t="s">
        <v>607</v>
      </c>
    </row>
    <row r="34" spans="1:9" ht="11.25" customHeight="1">
      <c r="A34" s="1796" t="s">
        <v>2193</v>
      </c>
      <c r="B34" s="1796" t="s">
        <v>14</v>
      </c>
      <c r="C34" s="1796" t="s">
        <v>2327</v>
      </c>
      <c r="D34" s="1796" t="s">
        <v>2328</v>
      </c>
      <c r="E34" s="1796" t="s">
        <v>2329</v>
      </c>
      <c r="F34" s="1796" t="s">
        <v>2330</v>
      </c>
      <c r="G34" s="1796" t="s">
        <v>2331</v>
      </c>
      <c r="H34" s="1796" t="s">
        <v>18</v>
      </c>
      <c r="I34" s="1796" t="s">
        <v>607</v>
      </c>
    </row>
    <row r="35" spans="1:9" ht="11.25" customHeight="1">
      <c r="A35" s="1796" t="s">
        <v>2193</v>
      </c>
      <c r="B35" s="1796" t="s">
        <v>14</v>
      </c>
      <c r="C35" s="1796" t="s">
        <v>2332</v>
      </c>
      <c r="D35" s="1796" t="s">
        <v>2333</v>
      </c>
      <c r="E35" s="1796" t="s">
        <v>2334</v>
      </c>
      <c r="F35" s="1796" t="s">
        <v>2335</v>
      </c>
      <c r="G35" s="1796" t="s">
        <v>2336</v>
      </c>
      <c r="H35" s="1796" t="s">
        <v>18</v>
      </c>
      <c r="I35" s="1796" t="s">
        <v>607</v>
      </c>
    </row>
    <row r="36" spans="1:9" ht="11.25" customHeight="1">
      <c r="A36" s="1796" t="s">
        <v>2193</v>
      </c>
      <c r="B36" s="1796" t="s">
        <v>14</v>
      </c>
      <c r="C36" s="1796" t="s">
        <v>2337</v>
      </c>
      <c r="D36" s="1796" t="s">
        <v>2338</v>
      </c>
      <c r="E36" s="1796" t="s">
        <v>2339</v>
      </c>
      <c r="F36" s="1796" t="s">
        <v>2281</v>
      </c>
      <c r="G36" s="1796" t="s">
        <v>2340</v>
      </c>
      <c r="H36" s="1796" t="s">
        <v>18</v>
      </c>
      <c r="I36" s="1796" t="s">
        <v>607</v>
      </c>
    </row>
    <row r="37" spans="1:9" ht="11.25" customHeight="1">
      <c r="A37" s="1796" t="s">
        <v>2193</v>
      </c>
      <c r="B37" s="1796" t="s">
        <v>14</v>
      </c>
      <c r="C37" s="1796" t="s">
        <v>2341</v>
      </c>
      <c r="D37" s="1796" t="s">
        <v>2342</v>
      </c>
      <c r="E37" s="1796" t="s">
        <v>2343</v>
      </c>
      <c r="F37" s="1796" t="s">
        <v>2344</v>
      </c>
      <c r="G37" s="1796" t="s">
        <v>2345</v>
      </c>
      <c r="H37" s="1796" t="s">
        <v>18</v>
      </c>
      <c r="I37" s="1796" t="s">
        <v>607</v>
      </c>
    </row>
    <row r="38" spans="1:9" ht="11.25" customHeight="1">
      <c r="A38" s="1796" t="s">
        <v>2193</v>
      </c>
      <c r="B38" s="1796" t="s">
        <v>14</v>
      </c>
      <c r="C38" s="1796" t="s">
        <v>2346</v>
      </c>
      <c r="D38" s="1796" t="s">
        <v>2347</v>
      </c>
      <c r="E38" s="1796" t="s">
        <v>2348</v>
      </c>
      <c r="F38" s="1796" t="s">
        <v>2349</v>
      </c>
      <c r="G38" s="1796" t="s">
        <v>2350</v>
      </c>
      <c r="H38" s="1796" t="s">
        <v>18</v>
      </c>
      <c r="I38" s="1796" t="s">
        <v>607</v>
      </c>
    </row>
    <row r="39" spans="1:9" ht="11.25" customHeight="1">
      <c r="A39" s="1796" t="s">
        <v>2193</v>
      </c>
      <c r="B39" s="1796" t="s">
        <v>14</v>
      </c>
      <c r="C39" s="1796" t="s">
        <v>2351</v>
      </c>
      <c r="D39" s="1796" t="s">
        <v>2352</v>
      </c>
      <c r="E39" s="1796" t="s">
        <v>2353</v>
      </c>
      <c r="F39" s="1796" t="s">
        <v>2216</v>
      </c>
      <c r="G39" s="1796" t="s">
        <v>2354</v>
      </c>
      <c r="H39" s="1796" t="s">
        <v>18</v>
      </c>
      <c r="I39" s="1796" t="s">
        <v>607</v>
      </c>
    </row>
    <row r="40" spans="1:9" ht="11.25" customHeight="1">
      <c r="A40" s="1796" t="s">
        <v>2193</v>
      </c>
      <c r="B40" s="1796" t="s">
        <v>14</v>
      </c>
      <c r="C40" s="1796" t="s">
        <v>2355</v>
      </c>
      <c r="D40" s="1796" t="s">
        <v>2356</v>
      </c>
      <c r="E40" s="1796" t="s">
        <v>2357</v>
      </c>
      <c r="F40" s="1796" t="s">
        <v>2358</v>
      </c>
      <c r="G40" s="1796" t="s">
        <v>18</v>
      </c>
      <c r="H40" s="1796" t="s">
        <v>18</v>
      </c>
      <c r="I40" s="1796" t="s">
        <v>607</v>
      </c>
    </row>
    <row r="41" spans="1:9" ht="11.25" customHeight="1">
      <c r="A41" s="1796" t="s">
        <v>2193</v>
      </c>
      <c r="B41" s="1796" t="s">
        <v>14</v>
      </c>
      <c r="C41" s="1796" t="s">
        <v>2359</v>
      </c>
      <c r="D41" s="1796" t="s">
        <v>2360</v>
      </c>
      <c r="E41" s="1796" t="s">
        <v>2361</v>
      </c>
      <c r="F41" s="1796" t="s">
        <v>2295</v>
      </c>
      <c r="G41" s="1796" t="s">
        <v>18</v>
      </c>
      <c r="H41" s="1796" t="s">
        <v>18</v>
      </c>
      <c r="I41" s="1796" t="s">
        <v>607</v>
      </c>
    </row>
    <row r="42" spans="1:9" ht="11.25" customHeight="1">
      <c r="A42" s="1796" t="s">
        <v>2193</v>
      </c>
      <c r="B42" s="1796" t="s">
        <v>14</v>
      </c>
      <c r="C42" s="1796" t="s">
        <v>2362</v>
      </c>
      <c r="D42" s="1796" t="s">
        <v>2363</v>
      </c>
      <c r="E42" s="1796" t="s">
        <v>2364</v>
      </c>
      <c r="F42" s="1796" t="s">
        <v>2365</v>
      </c>
      <c r="G42" s="1796" t="s">
        <v>18</v>
      </c>
      <c r="H42" s="1796" t="s">
        <v>18</v>
      </c>
      <c r="I42" s="1796" t="s">
        <v>607</v>
      </c>
    </row>
    <row r="43" spans="1:9" ht="11.25" customHeight="1">
      <c r="A43" s="1796" t="s">
        <v>2193</v>
      </c>
      <c r="B43" s="1796" t="s">
        <v>14</v>
      </c>
      <c r="C43" s="1796" t="s">
        <v>2366</v>
      </c>
      <c r="D43" s="1796" t="s">
        <v>2367</v>
      </c>
      <c r="E43" s="1796" t="s">
        <v>2368</v>
      </c>
      <c r="F43" s="1796" t="s">
        <v>2295</v>
      </c>
      <c r="G43" s="1796" t="s">
        <v>18</v>
      </c>
      <c r="H43" s="1796" t="s">
        <v>18</v>
      </c>
      <c r="I43" s="1796" t="s">
        <v>607</v>
      </c>
    </row>
    <row r="44" spans="1:9" ht="11.25" customHeight="1">
      <c r="A44" s="1796" t="s">
        <v>2193</v>
      </c>
      <c r="B44" s="1796" t="s">
        <v>14</v>
      </c>
      <c r="C44" s="1796" t="s">
        <v>2369</v>
      </c>
      <c r="D44" s="1796" t="s">
        <v>2370</v>
      </c>
      <c r="E44" s="1796" t="s">
        <v>2371</v>
      </c>
      <c r="F44" s="1796" t="s">
        <v>2365</v>
      </c>
      <c r="G44" s="1796" t="s">
        <v>18</v>
      </c>
      <c r="H44" s="1796" t="s">
        <v>18</v>
      </c>
      <c r="I44" s="1796" t="s">
        <v>607</v>
      </c>
    </row>
    <row r="45" spans="1:9" ht="11.25" customHeight="1">
      <c r="A45" s="1796" t="s">
        <v>2193</v>
      </c>
      <c r="B45" s="1796" t="s">
        <v>14</v>
      </c>
      <c r="C45" s="1796" t="s">
        <v>2372</v>
      </c>
      <c r="D45" s="1796" t="s">
        <v>2373</v>
      </c>
      <c r="E45" s="1796" t="s">
        <v>2374</v>
      </c>
      <c r="F45" s="1796" t="s">
        <v>2375</v>
      </c>
      <c r="G45" s="1796" t="s">
        <v>2376</v>
      </c>
      <c r="H45" s="1796" t="s">
        <v>18</v>
      </c>
      <c r="I45" s="1796" t="s">
        <v>607</v>
      </c>
    </row>
    <row r="46" spans="1:9" ht="11.25" customHeight="1">
      <c r="A46" s="1796" t="s">
        <v>2193</v>
      </c>
      <c r="B46" s="1796" t="s">
        <v>14</v>
      </c>
      <c r="C46" s="1796" t="s">
        <v>2377</v>
      </c>
      <c r="D46" s="1796" t="s">
        <v>2378</v>
      </c>
      <c r="E46" s="1796" t="s">
        <v>2379</v>
      </c>
      <c r="F46" s="1796" t="s">
        <v>2281</v>
      </c>
      <c r="G46" s="1796" t="s">
        <v>18</v>
      </c>
      <c r="H46" s="1796" t="s">
        <v>18</v>
      </c>
      <c r="I46" s="1796" t="s">
        <v>607</v>
      </c>
    </row>
    <row r="47" spans="1:9" ht="11.25" customHeight="1">
      <c r="A47" s="1796" t="s">
        <v>2193</v>
      </c>
      <c r="B47" s="1796" t="s">
        <v>14</v>
      </c>
      <c r="C47" s="1796" t="s">
        <v>2380</v>
      </c>
      <c r="D47" s="1796" t="s">
        <v>2381</v>
      </c>
      <c r="E47" s="1796" t="s">
        <v>2382</v>
      </c>
      <c r="F47" s="1796" t="s">
        <v>2281</v>
      </c>
      <c r="G47" s="1796" t="s">
        <v>18</v>
      </c>
      <c r="H47" s="1796" t="s">
        <v>18</v>
      </c>
      <c r="I47" s="1796" t="s">
        <v>607</v>
      </c>
    </row>
    <row r="48" spans="1:9" ht="11.25" customHeight="1">
      <c r="A48" s="1796" t="s">
        <v>2193</v>
      </c>
      <c r="B48" s="1796" t="s">
        <v>14</v>
      </c>
      <c r="C48" s="1796" t="s">
        <v>2383</v>
      </c>
      <c r="D48" s="1796" t="s">
        <v>2384</v>
      </c>
      <c r="E48" s="1796" t="s">
        <v>2385</v>
      </c>
      <c r="F48" s="1796" t="s">
        <v>2295</v>
      </c>
      <c r="G48" s="1796" t="s">
        <v>18</v>
      </c>
      <c r="H48" s="1796" t="s">
        <v>18</v>
      </c>
      <c r="I48" s="1796" t="s">
        <v>607</v>
      </c>
    </row>
    <row r="49" spans="1:9" ht="11.25" customHeight="1">
      <c r="A49" s="1796" t="s">
        <v>2193</v>
      </c>
      <c r="B49" s="1796" t="s">
        <v>14</v>
      </c>
      <c r="C49" s="1796" t="s">
        <v>2386</v>
      </c>
      <c r="D49" s="1796" t="s">
        <v>2387</v>
      </c>
      <c r="E49" s="1796" t="s">
        <v>2388</v>
      </c>
      <c r="F49" s="1796" t="s">
        <v>2295</v>
      </c>
      <c r="G49" s="1796" t="s">
        <v>18</v>
      </c>
      <c r="H49" s="1796" t="s">
        <v>18</v>
      </c>
      <c r="I49" s="1796" t="s">
        <v>607</v>
      </c>
    </row>
    <row r="50" spans="1:9" ht="11.25" customHeight="1">
      <c r="A50" s="1796" t="s">
        <v>2193</v>
      </c>
      <c r="B50" s="1796" t="s">
        <v>14</v>
      </c>
      <c r="C50" s="1796" t="s">
        <v>2389</v>
      </c>
      <c r="D50" s="1796" t="s">
        <v>2390</v>
      </c>
      <c r="E50" s="1796" t="s">
        <v>2391</v>
      </c>
      <c r="F50" s="1796" t="s">
        <v>2202</v>
      </c>
      <c r="G50" s="1796" t="s">
        <v>2392</v>
      </c>
      <c r="H50" s="1796" t="s">
        <v>18</v>
      </c>
      <c r="I50" s="1796" t="s">
        <v>607</v>
      </c>
    </row>
    <row r="51" spans="1:9" ht="11.25" customHeight="1">
      <c r="A51" s="1796" t="s">
        <v>2193</v>
      </c>
      <c r="B51" s="1796" t="s">
        <v>14</v>
      </c>
      <c r="C51" s="1796" t="s">
        <v>2393</v>
      </c>
      <c r="D51" s="1796" t="s">
        <v>2394</v>
      </c>
      <c r="E51" s="1796" t="s">
        <v>2395</v>
      </c>
      <c r="F51" s="1796" t="s">
        <v>2206</v>
      </c>
      <c r="G51" s="1796" t="s">
        <v>18</v>
      </c>
      <c r="H51" s="1796" t="s">
        <v>18</v>
      </c>
      <c r="I51" s="1796" t="s">
        <v>607</v>
      </c>
    </row>
    <row r="52" spans="1:9" ht="11.25" customHeight="1">
      <c r="A52" s="1796" t="s">
        <v>2193</v>
      </c>
      <c r="B52" s="1796" t="s">
        <v>14</v>
      </c>
      <c r="C52" s="1796" t="s">
        <v>2396</v>
      </c>
      <c r="D52" s="1796" t="s">
        <v>2397</v>
      </c>
      <c r="E52" s="1796" t="s">
        <v>2398</v>
      </c>
      <c r="F52" s="1796" t="s">
        <v>2399</v>
      </c>
      <c r="G52" s="1796" t="s">
        <v>18</v>
      </c>
      <c r="H52" s="1796" t="s">
        <v>2400</v>
      </c>
      <c r="I52" s="1796" t="s">
        <v>607</v>
      </c>
    </row>
    <row r="53" spans="1:9" ht="11.25" customHeight="1">
      <c r="A53" s="1796" t="s">
        <v>2193</v>
      </c>
      <c r="B53" s="1796" t="s">
        <v>14</v>
      </c>
      <c r="C53" s="1796" t="s">
        <v>2401</v>
      </c>
      <c r="D53" s="1796" t="s">
        <v>2402</v>
      </c>
      <c r="E53" s="1796" t="s">
        <v>2403</v>
      </c>
      <c r="F53" s="1796" t="s">
        <v>2399</v>
      </c>
      <c r="G53" s="1796" t="s">
        <v>18</v>
      </c>
      <c r="H53" s="1796" t="s">
        <v>18</v>
      </c>
      <c r="I53" s="1796" t="s">
        <v>607</v>
      </c>
    </row>
    <row r="54" spans="1:9" ht="11.25" customHeight="1">
      <c r="A54" s="1796" t="s">
        <v>2193</v>
      </c>
      <c r="B54" s="1796" t="s">
        <v>14</v>
      </c>
      <c r="C54" s="1796" t="s">
        <v>2404</v>
      </c>
      <c r="D54" s="1796" t="s">
        <v>2405</v>
      </c>
      <c r="E54" s="1796" t="s">
        <v>2406</v>
      </c>
      <c r="F54" s="1796" t="s">
        <v>2221</v>
      </c>
      <c r="G54" s="1796" t="s">
        <v>18</v>
      </c>
      <c r="H54" s="1796" t="s">
        <v>18</v>
      </c>
      <c r="I54" s="1796" t="s">
        <v>607</v>
      </c>
    </row>
    <row r="55" spans="1:9" ht="11.25" customHeight="1">
      <c r="A55" s="1796" t="s">
        <v>2193</v>
      </c>
      <c r="B55" s="1796" t="s">
        <v>14</v>
      </c>
      <c r="C55" s="1796" t="s">
        <v>2407</v>
      </c>
      <c r="D55" s="1796" t="s">
        <v>2408</v>
      </c>
      <c r="E55" s="1796" t="s">
        <v>2409</v>
      </c>
      <c r="F55" s="1796" t="s">
        <v>2349</v>
      </c>
      <c r="G55" s="1796" t="s">
        <v>2410</v>
      </c>
      <c r="H55" s="1796" t="s">
        <v>18</v>
      </c>
      <c r="I55" s="1796" t="s">
        <v>607</v>
      </c>
    </row>
    <row r="56" spans="1:9" ht="11.25" customHeight="1">
      <c r="A56" s="1796" t="s">
        <v>2193</v>
      </c>
      <c r="B56" s="1796" t="s">
        <v>14</v>
      </c>
      <c r="C56" s="1796" t="s">
        <v>2411</v>
      </c>
      <c r="D56" s="1796" t="s">
        <v>2412</v>
      </c>
      <c r="E56" s="1796" t="s">
        <v>2413</v>
      </c>
      <c r="F56" s="1796" t="s">
        <v>2221</v>
      </c>
      <c r="G56" s="1796" t="s">
        <v>18</v>
      </c>
      <c r="H56" s="1796" t="s">
        <v>18</v>
      </c>
      <c r="I56" s="1796" t="s">
        <v>607</v>
      </c>
    </row>
    <row r="57" spans="1:9" ht="11.25" customHeight="1">
      <c r="A57" s="1796" t="s">
        <v>2193</v>
      </c>
      <c r="B57" s="1796" t="s">
        <v>14</v>
      </c>
      <c r="C57" s="1796" t="s">
        <v>2414</v>
      </c>
      <c r="D57" s="1796" t="s">
        <v>2415</v>
      </c>
      <c r="E57" s="1796" t="s">
        <v>2416</v>
      </c>
      <c r="F57" s="1796" t="s">
        <v>2399</v>
      </c>
      <c r="G57" s="1796" t="s">
        <v>18</v>
      </c>
      <c r="H57" s="1796" t="s">
        <v>18</v>
      </c>
      <c r="I57" s="1796" t="s">
        <v>607</v>
      </c>
    </row>
    <row r="58" spans="1:9" ht="11.25" customHeight="1">
      <c r="A58" s="1796" t="s">
        <v>2193</v>
      </c>
      <c r="B58" s="1796" t="s">
        <v>14</v>
      </c>
      <c r="C58" s="1796" t="s">
        <v>2417</v>
      </c>
      <c r="D58" s="1796" t="s">
        <v>2418</v>
      </c>
      <c r="E58" s="1796" t="s">
        <v>2419</v>
      </c>
      <c r="F58" s="1796" t="s">
        <v>2420</v>
      </c>
      <c r="G58" s="1796" t="s">
        <v>2421</v>
      </c>
      <c r="H58" s="1796" t="s">
        <v>18</v>
      </c>
      <c r="I58" s="1796" t="s">
        <v>607</v>
      </c>
    </row>
    <row r="59" spans="1:9" ht="11.25" customHeight="1">
      <c r="A59" s="1796" t="s">
        <v>2193</v>
      </c>
      <c r="B59" s="1796" t="s">
        <v>14</v>
      </c>
      <c r="C59" s="1796" t="s">
        <v>2422</v>
      </c>
      <c r="D59" s="1796" t="s">
        <v>2423</v>
      </c>
      <c r="E59" s="1796" t="s">
        <v>2424</v>
      </c>
      <c r="F59" s="1796" t="s">
        <v>2425</v>
      </c>
      <c r="G59" s="1796" t="s">
        <v>18</v>
      </c>
      <c r="H59" s="1796" t="s">
        <v>18</v>
      </c>
      <c r="I59" s="1796" t="s">
        <v>607</v>
      </c>
    </row>
    <row r="60" spans="1:9" ht="11.25" customHeight="1">
      <c r="A60" s="1796" t="s">
        <v>2193</v>
      </c>
      <c r="B60" s="1796" t="s">
        <v>14</v>
      </c>
      <c r="C60" s="1796" t="s">
        <v>2426</v>
      </c>
      <c r="D60" s="1796" t="s">
        <v>2427</v>
      </c>
      <c r="E60" s="1796" t="s">
        <v>2428</v>
      </c>
      <c r="F60" s="1796" t="s">
        <v>2211</v>
      </c>
      <c r="G60" s="1796" t="s">
        <v>2429</v>
      </c>
      <c r="H60" s="1796" t="s">
        <v>18</v>
      </c>
      <c r="I60" s="1796" t="s">
        <v>607</v>
      </c>
    </row>
    <row r="61" spans="1:9" ht="11.25" customHeight="1">
      <c r="A61" s="1796" t="s">
        <v>2193</v>
      </c>
      <c r="B61" s="1796" t="s">
        <v>14</v>
      </c>
      <c r="C61" s="1796" t="s">
        <v>2430</v>
      </c>
      <c r="D61" s="1796" t="s">
        <v>2431</v>
      </c>
      <c r="E61" s="1796" t="s">
        <v>2432</v>
      </c>
      <c r="F61" s="1796" t="s">
        <v>2330</v>
      </c>
      <c r="G61" s="1796" t="s">
        <v>18</v>
      </c>
      <c r="H61" s="1796" t="s">
        <v>18</v>
      </c>
      <c r="I61" s="1796" t="s">
        <v>607</v>
      </c>
    </row>
    <row r="62" spans="1:9" ht="11.25" customHeight="1">
      <c r="A62" s="1796" t="s">
        <v>2193</v>
      </c>
      <c r="B62" s="1796" t="s">
        <v>14</v>
      </c>
      <c r="C62" s="1796" t="s">
        <v>2433</v>
      </c>
      <c r="D62" s="1796" t="s">
        <v>2434</v>
      </c>
      <c r="E62" s="1796" t="s">
        <v>2435</v>
      </c>
      <c r="F62" s="1796" t="s">
        <v>2211</v>
      </c>
      <c r="G62" s="1796" t="s">
        <v>18</v>
      </c>
      <c r="H62" s="1796" t="s">
        <v>18</v>
      </c>
      <c r="I62" s="1796" t="s">
        <v>607</v>
      </c>
    </row>
    <row r="63" spans="1:9" ht="11.25" customHeight="1">
      <c r="A63" s="1796" t="s">
        <v>2193</v>
      </c>
      <c r="B63" s="1796" t="s">
        <v>14</v>
      </c>
      <c r="C63" s="1796" t="s">
        <v>2436</v>
      </c>
      <c r="D63" s="1796" t="s">
        <v>2437</v>
      </c>
      <c r="E63" s="1796" t="s">
        <v>2438</v>
      </c>
      <c r="F63" s="1796" t="s">
        <v>2439</v>
      </c>
      <c r="G63" s="1796" t="s">
        <v>2440</v>
      </c>
      <c r="H63" s="1796" t="s">
        <v>18</v>
      </c>
      <c r="I63" s="1796" t="s">
        <v>607</v>
      </c>
    </row>
    <row r="64" spans="1:9" ht="11.25" customHeight="1">
      <c r="A64" s="1796" t="s">
        <v>2193</v>
      </c>
      <c r="B64" s="1796" t="s">
        <v>14</v>
      </c>
      <c r="C64" s="1796" t="s">
        <v>2441</v>
      </c>
      <c r="D64" s="1796" t="s">
        <v>2442</v>
      </c>
      <c r="E64" s="1796" t="s">
        <v>2443</v>
      </c>
      <c r="F64" s="1796" t="s">
        <v>2444</v>
      </c>
      <c r="G64" s="1796" t="s">
        <v>18</v>
      </c>
      <c r="H64" s="1796" t="s">
        <v>18</v>
      </c>
      <c r="I64" s="1796" t="s">
        <v>607</v>
      </c>
    </row>
    <row r="65" spans="1:9" ht="11.25" customHeight="1">
      <c r="A65" s="1796" t="s">
        <v>2193</v>
      </c>
      <c r="B65" s="1796" t="s">
        <v>14</v>
      </c>
      <c r="C65" s="1796" t="s">
        <v>2445</v>
      </c>
      <c r="D65" s="1796" t="s">
        <v>2446</v>
      </c>
      <c r="E65" s="1796" t="s">
        <v>2447</v>
      </c>
      <c r="F65" s="1796" t="s">
        <v>2448</v>
      </c>
      <c r="G65" s="1796" t="s">
        <v>2449</v>
      </c>
      <c r="H65" s="1796" t="s">
        <v>18</v>
      </c>
      <c r="I65" s="1796" t="s">
        <v>607</v>
      </c>
    </row>
    <row r="66" spans="1:9" ht="11.25" customHeight="1">
      <c r="A66" s="1796" t="s">
        <v>2193</v>
      </c>
      <c r="B66" s="1796" t="s">
        <v>14</v>
      </c>
      <c r="C66" s="1796" t="s">
        <v>2450</v>
      </c>
      <c r="D66" s="1796" t="s">
        <v>2451</v>
      </c>
      <c r="E66" s="1796" t="s">
        <v>2452</v>
      </c>
      <c r="F66" s="1796" t="s">
        <v>2453</v>
      </c>
      <c r="G66" s="1796" t="s">
        <v>2454</v>
      </c>
      <c r="H66" s="1796" t="s">
        <v>18</v>
      </c>
      <c r="I66" s="1796" t="s">
        <v>607</v>
      </c>
    </row>
    <row r="67" spans="1:9" ht="11.25" customHeight="1">
      <c r="A67" s="1796" t="s">
        <v>2193</v>
      </c>
      <c r="B67" s="1796" t="s">
        <v>14</v>
      </c>
      <c r="C67" s="1796" t="s">
        <v>2455</v>
      </c>
      <c r="D67" s="1796" t="s">
        <v>2456</v>
      </c>
      <c r="E67" s="1796" t="s">
        <v>2457</v>
      </c>
      <c r="F67" s="1796" t="s">
        <v>2295</v>
      </c>
      <c r="G67" s="1796" t="s">
        <v>18</v>
      </c>
      <c r="H67" s="1796" t="s">
        <v>18</v>
      </c>
      <c r="I67" s="1796" t="s">
        <v>607</v>
      </c>
    </row>
    <row r="68" spans="1:9" ht="11.25" customHeight="1">
      <c r="A68" s="1796" t="s">
        <v>2193</v>
      </c>
      <c r="B68" s="1796" t="s">
        <v>14</v>
      </c>
      <c r="C68" s="1796" t="s">
        <v>2458</v>
      </c>
      <c r="D68" s="1796" t="s">
        <v>2459</v>
      </c>
      <c r="E68" s="1796" t="s">
        <v>2460</v>
      </c>
      <c r="F68" s="1796" t="s">
        <v>2295</v>
      </c>
      <c r="G68" s="1796" t="s">
        <v>2461</v>
      </c>
      <c r="H68" s="1796" t="s">
        <v>18</v>
      </c>
      <c r="I68" s="1796" t="s">
        <v>607</v>
      </c>
    </row>
    <row r="69" spans="1:9" ht="11.25" customHeight="1">
      <c r="A69" s="1796" t="s">
        <v>2193</v>
      </c>
      <c r="B69" s="1796" t="s">
        <v>14</v>
      </c>
      <c r="C69" s="1796" t="s">
        <v>2462</v>
      </c>
      <c r="D69" s="1796" t="s">
        <v>2463</v>
      </c>
      <c r="E69" s="1796" t="s">
        <v>2464</v>
      </c>
      <c r="F69" s="1796" t="s">
        <v>2216</v>
      </c>
      <c r="G69" s="1796" t="s">
        <v>2465</v>
      </c>
      <c r="H69" s="1796" t="s">
        <v>18</v>
      </c>
      <c r="I69" s="1796" t="s">
        <v>607</v>
      </c>
    </row>
    <row r="70" spans="1:9" ht="11.25" customHeight="1">
      <c r="A70" s="1796" t="s">
        <v>2193</v>
      </c>
      <c r="B70" s="1796" t="s">
        <v>14</v>
      </c>
      <c r="C70" s="1796" t="s">
        <v>2466</v>
      </c>
      <c r="D70" s="1796" t="s">
        <v>2467</v>
      </c>
      <c r="E70" s="1796" t="s">
        <v>2468</v>
      </c>
      <c r="F70" s="1796" t="s">
        <v>2469</v>
      </c>
      <c r="G70" s="1796" t="s">
        <v>2470</v>
      </c>
      <c r="H70" s="1796" t="s">
        <v>18</v>
      </c>
      <c r="I70" s="1796" t="s">
        <v>607</v>
      </c>
    </row>
    <row r="71" spans="1:9" ht="11.25" customHeight="1">
      <c r="A71" s="1796" t="s">
        <v>2193</v>
      </c>
      <c r="B71" s="1796" t="s">
        <v>14</v>
      </c>
      <c r="C71" s="1796" t="s">
        <v>2471</v>
      </c>
      <c r="D71" s="1796" t="s">
        <v>2472</v>
      </c>
      <c r="E71" s="1796" t="s">
        <v>2473</v>
      </c>
      <c r="F71" s="1796" t="s">
        <v>2358</v>
      </c>
      <c r="G71" s="1796" t="s">
        <v>2474</v>
      </c>
      <c r="H71" s="1796" t="s">
        <v>18</v>
      </c>
      <c r="I71" s="1796" t="s">
        <v>607</v>
      </c>
    </row>
    <row r="72" spans="1:9" ht="11.25" customHeight="1">
      <c r="A72" s="1796" t="s">
        <v>2193</v>
      </c>
      <c r="B72" s="1796" t="s">
        <v>14</v>
      </c>
      <c r="C72" s="1796" t="s">
        <v>2475</v>
      </c>
      <c r="D72" s="1796" t="s">
        <v>2476</v>
      </c>
      <c r="E72" s="1796" t="s">
        <v>2477</v>
      </c>
      <c r="F72" s="1796" t="s">
        <v>2239</v>
      </c>
      <c r="G72" s="1796" t="s">
        <v>18</v>
      </c>
      <c r="H72" s="1796" t="s">
        <v>18</v>
      </c>
      <c r="I72" s="1796" t="s">
        <v>607</v>
      </c>
    </row>
    <row r="73" spans="1:9" ht="11.25" customHeight="1">
      <c r="A73" s="1796" t="s">
        <v>2193</v>
      </c>
      <c r="B73" s="1796" t="s">
        <v>14</v>
      </c>
      <c r="C73" s="1796" t="s">
        <v>2478</v>
      </c>
      <c r="D73" s="1796" t="s">
        <v>2479</v>
      </c>
      <c r="E73" s="1796" t="s">
        <v>2480</v>
      </c>
      <c r="F73" s="1796" t="s">
        <v>2239</v>
      </c>
      <c r="G73" s="1796" t="s">
        <v>2481</v>
      </c>
      <c r="H73" s="1796" t="s">
        <v>18</v>
      </c>
      <c r="I73" s="1796" t="s">
        <v>607</v>
      </c>
    </row>
    <row r="74" spans="1:9" ht="11.25" customHeight="1">
      <c r="A74" s="1796" t="s">
        <v>2193</v>
      </c>
      <c r="B74" s="1796" t="s">
        <v>14</v>
      </c>
      <c r="C74" s="1796" t="s">
        <v>2482</v>
      </c>
      <c r="D74" s="1796" t="s">
        <v>46</v>
      </c>
      <c r="E74" s="1796" t="s">
        <v>49</v>
      </c>
      <c r="F74" s="1796" t="s">
        <v>51</v>
      </c>
      <c r="G74" s="1796" t="s">
        <v>18</v>
      </c>
      <c r="H74" s="1796" t="s">
        <v>18</v>
      </c>
      <c r="I74" s="1796" t="s">
        <v>607</v>
      </c>
    </row>
    <row r="75" spans="1:9" ht="11.25" customHeight="1">
      <c r="A75" s="1796" t="s">
        <v>2193</v>
      </c>
      <c r="B75" s="1796" t="s">
        <v>14</v>
      </c>
      <c r="C75" s="1796" t="s">
        <v>2483</v>
      </c>
      <c r="D75" s="1796" t="s">
        <v>2484</v>
      </c>
      <c r="E75" s="1796" t="s">
        <v>2485</v>
      </c>
      <c r="F75" s="1796" t="s">
        <v>2486</v>
      </c>
      <c r="G75" s="1796" t="s">
        <v>18</v>
      </c>
      <c r="H75" s="1796" t="s">
        <v>18</v>
      </c>
      <c r="I75" s="1796" t="s">
        <v>607</v>
      </c>
    </row>
    <row r="76" spans="1:9" ht="11.25" customHeight="1">
      <c r="A76" s="1796" t="s">
        <v>2193</v>
      </c>
      <c r="B76" s="1796" t="s">
        <v>14</v>
      </c>
      <c r="C76" s="1796" t="s">
        <v>2487</v>
      </c>
      <c r="D76" s="1796" t="s">
        <v>2488</v>
      </c>
      <c r="E76" s="1796" t="s">
        <v>2489</v>
      </c>
      <c r="F76" s="1796" t="s">
        <v>2239</v>
      </c>
      <c r="G76" s="1796" t="s">
        <v>2490</v>
      </c>
      <c r="H76" s="1796" t="s">
        <v>18</v>
      </c>
      <c r="I76" s="1796" t="s">
        <v>607</v>
      </c>
    </row>
    <row r="77" spans="1:9" ht="11.25" customHeight="1">
      <c r="A77" s="1796" t="s">
        <v>2193</v>
      </c>
      <c r="B77" s="1796" t="s">
        <v>14</v>
      </c>
      <c r="C77" s="1796" t="s">
        <v>2491</v>
      </c>
      <c r="D77" s="1796" t="s">
        <v>2492</v>
      </c>
      <c r="E77" s="1796" t="s">
        <v>2493</v>
      </c>
      <c r="F77" s="1796" t="s">
        <v>2239</v>
      </c>
      <c r="G77" s="1796" t="s">
        <v>2494</v>
      </c>
      <c r="H77" s="1796" t="s">
        <v>18</v>
      </c>
      <c r="I77" s="1796" t="s">
        <v>607</v>
      </c>
    </row>
    <row r="78" spans="1:9" ht="11.25" customHeight="1">
      <c r="A78" s="1796" t="s">
        <v>2193</v>
      </c>
      <c r="B78" s="1796" t="s">
        <v>14</v>
      </c>
      <c r="C78" s="1796" t="s">
        <v>2495</v>
      </c>
      <c r="D78" s="1796" t="s">
        <v>2496</v>
      </c>
      <c r="E78" s="1796" t="s">
        <v>2497</v>
      </c>
      <c r="F78" s="1796" t="s">
        <v>2295</v>
      </c>
      <c r="G78" s="1796" t="s">
        <v>2498</v>
      </c>
      <c r="H78" s="1796" t="s">
        <v>18</v>
      </c>
      <c r="I78" s="1796" t="s">
        <v>607</v>
      </c>
    </row>
    <row r="79" spans="1:9" ht="11.25" customHeight="1">
      <c r="A79" s="1796" t="s">
        <v>2193</v>
      </c>
      <c r="B79" s="1796" t="s">
        <v>14</v>
      </c>
      <c r="C79" s="1796" t="s">
        <v>2499</v>
      </c>
      <c r="D79" s="1796" t="s">
        <v>2500</v>
      </c>
      <c r="E79" s="1796" t="s">
        <v>2501</v>
      </c>
      <c r="F79" s="1796" t="s">
        <v>2322</v>
      </c>
      <c r="G79" s="1796" t="s">
        <v>18</v>
      </c>
      <c r="H79" s="1796" t="s">
        <v>18</v>
      </c>
      <c r="I79" s="1796" t="s">
        <v>607</v>
      </c>
    </row>
    <row r="80" spans="1:9" ht="11.25" customHeight="1">
      <c r="A80" s="1796" t="s">
        <v>2193</v>
      </c>
      <c r="B80" s="1796" t="s">
        <v>14</v>
      </c>
      <c r="C80" s="1796" t="s">
        <v>2502</v>
      </c>
      <c r="D80" s="1796" t="s">
        <v>2503</v>
      </c>
      <c r="E80" s="1796" t="s">
        <v>2504</v>
      </c>
      <c r="F80" s="1796" t="s">
        <v>51</v>
      </c>
      <c r="G80" s="1796" t="s">
        <v>18</v>
      </c>
      <c r="H80" s="1796" t="s">
        <v>18</v>
      </c>
      <c r="I80" s="1796" t="s">
        <v>607</v>
      </c>
    </row>
    <row r="81" spans="1:9" ht="11.25" customHeight="1">
      <c r="A81" s="1796" t="s">
        <v>2193</v>
      </c>
      <c r="B81" s="1796" t="s">
        <v>14</v>
      </c>
      <c r="C81" s="1796" t="s">
        <v>2505</v>
      </c>
      <c r="D81" s="1796" t="s">
        <v>2506</v>
      </c>
      <c r="E81" s="1796" t="s">
        <v>2507</v>
      </c>
      <c r="F81" s="1796" t="s">
        <v>2508</v>
      </c>
      <c r="G81" s="1796" t="s">
        <v>2509</v>
      </c>
      <c r="H81" s="1796" t="s">
        <v>18</v>
      </c>
      <c r="I81" s="1796" t="s">
        <v>607</v>
      </c>
    </row>
    <row r="82" spans="1:9" ht="11.25" customHeight="1">
      <c r="A82" s="1796" t="s">
        <v>2193</v>
      </c>
      <c r="B82" s="1796" t="s">
        <v>14</v>
      </c>
      <c r="C82" s="1796" t="s">
        <v>2510</v>
      </c>
      <c r="D82" s="1796" t="s">
        <v>2511</v>
      </c>
      <c r="E82" s="1796" t="s">
        <v>2512</v>
      </c>
      <c r="F82" s="1796" t="s">
        <v>2295</v>
      </c>
      <c r="G82" s="1796" t="s">
        <v>2513</v>
      </c>
      <c r="H82" s="1796" t="s">
        <v>18</v>
      </c>
      <c r="I82" s="1796" t="s">
        <v>607</v>
      </c>
    </row>
    <row r="83" spans="1:9" ht="11.25" customHeight="1">
      <c r="A83" s="1796" t="s">
        <v>2193</v>
      </c>
      <c r="B83" s="1796" t="s">
        <v>14</v>
      </c>
      <c r="C83" s="1796" t="s">
        <v>2514</v>
      </c>
      <c r="D83" s="1796" t="s">
        <v>2515</v>
      </c>
      <c r="E83" s="1796" t="s">
        <v>2516</v>
      </c>
      <c r="F83" s="1796" t="s">
        <v>2261</v>
      </c>
      <c r="G83" s="1796" t="s">
        <v>2517</v>
      </c>
      <c r="H83" s="1796" t="s">
        <v>18</v>
      </c>
      <c r="I83" s="1796" t="s">
        <v>607</v>
      </c>
    </row>
    <row r="84" spans="1:9" ht="11.25" customHeight="1">
      <c r="A84" s="1796" t="s">
        <v>2193</v>
      </c>
      <c r="B84" s="1796" t="s">
        <v>14</v>
      </c>
      <c r="C84" s="1796" t="s">
        <v>2518</v>
      </c>
      <c r="D84" s="1796" t="s">
        <v>2519</v>
      </c>
      <c r="E84" s="1796" t="s">
        <v>2520</v>
      </c>
      <c r="F84" s="1796" t="s">
        <v>2206</v>
      </c>
      <c r="G84" s="1796" t="s">
        <v>2521</v>
      </c>
      <c r="H84" s="1796" t="s">
        <v>18</v>
      </c>
      <c r="I84" s="1796" t="s">
        <v>607</v>
      </c>
    </row>
    <row r="85" spans="1:9" ht="11.25" customHeight="1">
      <c r="A85" s="1796" t="s">
        <v>2193</v>
      </c>
      <c r="B85" s="1796" t="s">
        <v>14</v>
      </c>
      <c r="C85" s="1796" t="s">
        <v>2522</v>
      </c>
      <c r="D85" s="1796" t="s">
        <v>2523</v>
      </c>
      <c r="E85" s="1796" t="s">
        <v>2524</v>
      </c>
      <c r="F85" s="1796" t="s">
        <v>2239</v>
      </c>
      <c r="G85" s="1796" t="s">
        <v>2525</v>
      </c>
      <c r="H85" s="1796" t="s">
        <v>18</v>
      </c>
      <c r="I85" s="1796" t="s">
        <v>607</v>
      </c>
    </row>
    <row r="86" spans="1:9" ht="11.25" customHeight="1">
      <c r="A86" s="1796" t="s">
        <v>2193</v>
      </c>
      <c r="B86" s="1796" t="s">
        <v>14</v>
      </c>
      <c r="C86" s="1796" t="s">
        <v>2526</v>
      </c>
      <c r="D86" s="1796" t="s">
        <v>2527</v>
      </c>
      <c r="E86" s="1796" t="s">
        <v>2528</v>
      </c>
      <c r="F86" s="1796" t="s">
        <v>2453</v>
      </c>
      <c r="G86" s="1796" t="s">
        <v>2529</v>
      </c>
      <c r="H86" s="1796" t="s">
        <v>18</v>
      </c>
      <c r="I86" s="1796" t="s">
        <v>607</v>
      </c>
    </row>
    <row r="87" spans="1:9" ht="11.25" customHeight="1">
      <c r="A87" s="1796" t="s">
        <v>2193</v>
      </c>
      <c r="B87" s="1796" t="s">
        <v>14</v>
      </c>
      <c r="C87" s="1796" t="s">
        <v>2530</v>
      </c>
      <c r="D87" s="1796" t="s">
        <v>2531</v>
      </c>
      <c r="E87" s="1796" t="s">
        <v>2532</v>
      </c>
      <c r="F87" s="1796" t="s">
        <v>2533</v>
      </c>
      <c r="G87" s="1796" t="s">
        <v>18</v>
      </c>
      <c r="H87" s="1796" t="s">
        <v>18</v>
      </c>
      <c r="I87" s="1796" t="s">
        <v>607</v>
      </c>
    </row>
    <row r="88" spans="1:9" ht="11.25" customHeight="1">
      <c r="A88" s="1796" t="s">
        <v>2193</v>
      </c>
      <c r="B88" s="1796" t="s">
        <v>14</v>
      </c>
      <c r="C88" s="1796" t="s">
        <v>2534</v>
      </c>
      <c r="D88" s="1796" t="s">
        <v>2535</v>
      </c>
      <c r="E88" s="1796" t="s">
        <v>2536</v>
      </c>
      <c r="F88" s="1796" t="s">
        <v>2295</v>
      </c>
      <c r="G88" s="1796" t="s">
        <v>18</v>
      </c>
      <c r="H88" s="1796" t="s">
        <v>18</v>
      </c>
      <c r="I88" s="1796" t="s">
        <v>607</v>
      </c>
    </row>
    <row r="89" spans="1:9" ht="11.25" customHeight="1">
      <c r="A89" s="1796" t="s">
        <v>2193</v>
      </c>
      <c r="B89" s="1796" t="s">
        <v>14</v>
      </c>
      <c r="C89" s="1796" t="s">
        <v>2537</v>
      </c>
      <c r="D89" s="1796" t="s">
        <v>2538</v>
      </c>
      <c r="E89" s="1796" t="s">
        <v>2539</v>
      </c>
      <c r="F89" s="1796" t="s">
        <v>2540</v>
      </c>
      <c r="G89" s="1796" t="s">
        <v>18</v>
      </c>
      <c r="H89" s="1796" t="s">
        <v>18</v>
      </c>
      <c r="I89" s="1796" t="s">
        <v>607</v>
      </c>
    </row>
    <row r="90" spans="1:9" ht="11.25" customHeight="1">
      <c r="A90" s="1796" t="s">
        <v>2193</v>
      </c>
      <c r="B90" s="1796" t="s">
        <v>14</v>
      </c>
      <c r="C90" s="1796" t="s">
        <v>2541</v>
      </c>
      <c r="D90" s="1796" t="s">
        <v>2542</v>
      </c>
      <c r="E90" s="1796" t="s">
        <v>2543</v>
      </c>
      <c r="F90" s="1796" t="s">
        <v>2448</v>
      </c>
      <c r="G90" s="1796" t="s">
        <v>2544</v>
      </c>
      <c r="H90" s="1796" t="s">
        <v>18</v>
      </c>
      <c r="I90" s="1796" t="s">
        <v>607</v>
      </c>
    </row>
    <row r="91" spans="1:9" ht="11.25" customHeight="1">
      <c r="A91" s="1796" t="s">
        <v>2193</v>
      </c>
      <c r="B91" s="1796" t="s">
        <v>14</v>
      </c>
      <c r="C91" s="1796" t="s">
        <v>2545</v>
      </c>
      <c r="D91" s="1796" t="s">
        <v>2546</v>
      </c>
      <c r="E91" s="1796" t="s">
        <v>2547</v>
      </c>
      <c r="F91" s="1796" t="s">
        <v>2444</v>
      </c>
      <c r="G91" s="1796" t="s">
        <v>2548</v>
      </c>
      <c r="H91" s="1796" t="s">
        <v>18</v>
      </c>
      <c r="I91" s="1796" t="s">
        <v>607</v>
      </c>
    </row>
    <row r="92" spans="1:9" ht="11.25" customHeight="1">
      <c r="A92" s="1796" t="s">
        <v>2193</v>
      </c>
      <c r="B92" s="1796" t="s">
        <v>14</v>
      </c>
      <c r="C92" s="1796" t="s">
        <v>2549</v>
      </c>
      <c r="D92" s="1796" t="s">
        <v>2550</v>
      </c>
      <c r="E92" s="1796" t="s">
        <v>2551</v>
      </c>
      <c r="F92" s="1796" t="s">
        <v>2420</v>
      </c>
      <c r="G92" s="1796" t="s">
        <v>2552</v>
      </c>
      <c r="H92" s="1796" t="s">
        <v>18</v>
      </c>
      <c r="I92" s="1796" t="s">
        <v>607</v>
      </c>
    </row>
    <row r="93" spans="1:9" ht="11.25" customHeight="1">
      <c r="A93" s="1796" t="s">
        <v>2193</v>
      </c>
      <c r="B93" s="1796" t="s">
        <v>14</v>
      </c>
      <c r="C93" s="1796" t="s">
        <v>2553</v>
      </c>
      <c r="D93" s="1796" t="s">
        <v>2554</v>
      </c>
      <c r="E93" s="1796" t="s">
        <v>2555</v>
      </c>
      <c r="F93" s="1796" t="s">
        <v>2317</v>
      </c>
      <c r="G93" s="1796" t="s">
        <v>2556</v>
      </c>
      <c r="H93" s="1796" t="s">
        <v>18</v>
      </c>
      <c r="I93" s="1796" t="s">
        <v>607</v>
      </c>
    </row>
    <row r="94" spans="1:9" ht="11.25" customHeight="1">
      <c r="A94" s="1796" t="s">
        <v>2193</v>
      </c>
      <c r="B94" s="1796" t="s">
        <v>14</v>
      </c>
      <c r="C94" s="1796" t="s">
        <v>2557</v>
      </c>
      <c r="D94" s="1796" t="s">
        <v>2558</v>
      </c>
      <c r="E94" s="1796" t="s">
        <v>2559</v>
      </c>
      <c r="F94" s="1796" t="s">
        <v>2358</v>
      </c>
      <c r="G94" s="1796" t="s">
        <v>2560</v>
      </c>
      <c r="H94" s="1796" t="s">
        <v>18</v>
      </c>
      <c r="I94" s="1796" t="s">
        <v>607</v>
      </c>
    </row>
    <row r="95" spans="1:9" ht="11.25" customHeight="1">
      <c r="A95" s="1796" t="s">
        <v>2193</v>
      </c>
      <c r="B95" s="1796" t="s">
        <v>14</v>
      </c>
      <c r="C95" s="1796" t="s">
        <v>2561</v>
      </c>
      <c r="D95" s="1796" t="s">
        <v>2562</v>
      </c>
      <c r="E95" s="1796" t="s">
        <v>2563</v>
      </c>
      <c r="F95" s="1796" t="s">
        <v>2330</v>
      </c>
      <c r="G95" s="1796" t="s">
        <v>18</v>
      </c>
      <c r="H95" s="1796" t="s">
        <v>18</v>
      </c>
      <c r="I95" s="1796" t="s">
        <v>607</v>
      </c>
    </row>
    <row r="96" spans="1:9" ht="11.25" customHeight="1">
      <c r="A96" s="1796" t="s">
        <v>2193</v>
      </c>
      <c r="B96" s="1796" t="s">
        <v>14</v>
      </c>
      <c r="C96" s="1796" t="s">
        <v>2564</v>
      </c>
      <c r="D96" s="1796" t="s">
        <v>2565</v>
      </c>
      <c r="E96" s="1796" t="s">
        <v>2566</v>
      </c>
      <c r="F96" s="1796" t="s">
        <v>2239</v>
      </c>
      <c r="G96" s="1796" t="s">
        <v>2567</v>
      </c>
      <c r="H96" s="1796" t="s">
        <v>18</v>
      </c>
      <c r="I96" s="1796" t="s">
        <v>607</v>
      </c>
    </row>
    <row r="97" spans="1:9" ht="11.25" customHeight="1">
      <c r="A97" s="1796" t="s">
        <v>2193</v>
      </c>
      <c r="B97" s="1796" t="s">
        <v>14</v>
      </c>
      <c r="C97" s="1796" t="s">
        <v>2568</v>
      </c>
      <c r="D97" s="1796" t="s">
        <v>2569</v>
      </c>
      <c r="E97" s="1796" t="s">
        <v>2570</v>
      </c>
      <c r="F97" s="1796" t="s">
        <v>2335</v>
      </c>
      <c r="G97" s="1796" t="s">
        <v>2571</v>
      </c>
      <c r="H97" s="1796" t="s">
        <v>18</v>
      </c>
      <c r="I97" s="1796" t="s">
        <v>607</v>
      </c>
    </row>
    <row r="98" spans="1:9" ht="11.25" customHeight="1">
      <c r="A98" s="1796" t="s">
        <v>2193</v>
      </c>
      <c r="B98" s="1796" t="s">
        <v>14</v>
      </c>
      <c r="C98" s="1796" t="s">
        <v>2572</v>
      </c>
      <c r="D98" s="1796" t="s">
        <v>2573</v>
      </c>
      <c r="E98" s="1796" t="s">
        <v>2574</v>
      </c>
      <c r="F98" s="1796" t="s">
        <v>2239</v>
      </c>
      <c r="G98" s="1796" t="s">
        <v>18</v>
      </c>
      <c r="H98" s="1796" t="s">
        <v>18</v>
      </c>
      <c r="I98" s="1796" t="s">
        <v>607</v>
      </c>
    </row>
    <row r="99" spans="1:9" ht="11.25" customHeight="1">
      <c r="A99" s="1796" t="s">
        <v>2193</v>
      </c>
      <c r="B99" s="1796" t="s">
        <v>14</v>
      </c>
      <c r="C99" s="1796" t="s">
        <v>2575</v>
      </c>
      <c r="D99" s="1796" t="s">
        <v>2576</v>
      </c>
      <c r="E99" s="1796" t="s">
        <v>2577</v>
      </c>
      <c r="F99" s="1796" t="s">
        <v>2239</v>
      </c>
      <c r="G99" s="1796" t="s">
        <v>2578</v>
      </c>
      <c r="H99" s="1796" t="s">
        <v>18</v>
      </c>
      <c r="I99" s="1796" t="s">
        <v>607</v>
      </c>
    </row>
    <row r="100" spans="1:9" ht="11.25" customHeight="1">
      <c r="A100" s="1796" t="s">
        <v>2193</v>
      </c>
      <c r="B100" s="1796" t="s">
        <v>14</v>
      </c>
      <c r="C100" s="1796" t="s">
        <v>2579</v>
      </c>
      <c r="D100" s="1796" t="s">
        <v>2576</v>
      </c>
      <c r="E100" s="1796" t="s">
        <v>2577</v>
      </c>
      <c r="F100" s="1796" t="s">
        <v>2216</v>
      </c>
      <c r="G100" s="1796" t="s">
        <v>18</v>
      </c>
      <c r="H100" s="1796" t="s">
        <v>18</v>
      </c>
      <c r="I100" s="1796" t="s">
        <v>607</v>
      </c>
    </row>
    <row r="101" spans="1:9" ht="11.25" customHeight="1">
      <c r="A101" s="1796" t="s">
        <v>2193</v>
      </c>
      <c r="B101" s="1796" t="s">
        <v>14</v>
      </c>
      <c r="C101" s="1796" t="s">
        <v>2580</v>
      </c>
      <c r="D101" s="1796" t="s">
        <v>2581</v>
      </c>
      <c r="E101" s="1796" t="s">
        <v>2582</v>
      </c>
      <c r="F101" s="1796" t="s">
        <v>2239</v>
      </c>
      <c r="G101" s="1796" t="s">
        <v>18</v>
      </c>
      <c r="H101" s="1796" t="s">
        <v>18</v>
      </c>
      <c r="I101" s="1796" t="s">
        <v>607</v>
      </c>
    </row>
    <row r="102" spans="1:9" ht="11.25" customHeight="1">
      <c r="A102" s="1796" t="s">
        <v>2193</v>
      </c>
      <c r="B102" s="1796" t="s">
        <v>14</v>
      </c>
      <c r="C102" s="1796" t="s">
        <v>2583</v>
      </c>
      <c r="D102" s="1796" t="s">
        <v>2584</v>
      </c>
      <c r="E102" s="1796" t="s">
        <v>2585</v>
      </c>
      <c r="F102" s="1796" t="s">
        <v>2202</v>
      </c>
      <c r="G102" s="1796" t="s">
        <v>18</v>
      </c>
      <c r="H102" s="1796" t="s">
        <v>18</v>
      </c>
      <c r="I102" s="1796" t="s">
        <v>607</v>
      </c>
    </row>
    <row r="103" spans="1:9" ht="11.25" customHeight="1">
      <c r="A103" s="1796" t="s">
        <v>2193</v>
      </c>
      <c r="B103" s="1796" t="s">
        <v>14</v>
      </c>
      <c r="C103" s="1796" t="s">
        <v>2586</v>
      </c>
      <c r="D103" s="1796" t="s">
        <v>2587</v>
      </c>
      <c r="E103" s="1796" t="s">
        <v>2588</v>
      </c>
      <c r="F103" s="1796" t="s">
        <v>2589</v>
      </c>
      <c r="G103" s="1796" t="s">
        <v>18</v>
      </c>
      <c r="H103" s="1796" t="s">
        <v>18</v>
      </c>
      <c r="I103" s="1796" t="s">
        <v>607</v>
      </c>
    </row>
    <row r="104" spans="1:9" ht="11.25" customHeight="1">
      <c r="A104" s="1796" t="s">
        <v>2193</v>
      </c>
      <c r="B104" s="1796" t="s">
        <v>14</v>
      </c>
      <c r="C104" s="1796" t="s">
        <v>2590</v>
      </c>
      <c r="D104" s="1796" t="s">
        <v>2591</v>
      </c>
      <c r="E104" s="1796" t="s">
        <v>2592</v>
      </c>
      <c r="F104" s="1796" t="s">
        <v>2239</v>
      </c>
      <c r="G104" s="1796" t="s">
        <v>2593</v>
      </c>
      <c r="H104" s="1796" t="s">
        <v>18</v>
      </c>
      <c r="I104" s="1796" t="s">
        <v>607</v>
      </c>
    </row>
    <row r="105" spans="1:9" ht="11.25" customHeight="1">
      <c r="A105" s="1796" t="s">
        <v>2193</v>
      </c>
      <c r="B105" s="1796" t="s">
        <v>14</v>
      </c>
      <c r="C105" s="1796" t="s">
        <v>2594</v>
      </c>
      <c r="D105" s="1796" t="s">
        <v>2595</v>
      </c>
      <c r="E105" s="1796" t="s">
        <v>2596</v>
      </c>
      <c r="F105" s="1796" t="s">
        <v>2239</v>
      </c>
      <c r="G105" s="1796" t="s">
        <v>18</v>
      </c>
      <c r="H105" s="1796" t="s">
        <v>18</v>
      </c>
      <c r="I105" s="1796" t="s">
        <v>607</v>
      </c>
    </row>
    <row r="106" spans="1:9" ht="11.25" customHeight="1">
      <c r="A106" s="1796" t="s">
        <v>2193</v>
      </c>
      <c r="B106" s="1796" t="s">
        <v>14</v>
      </c>
      <c r="C106" s="1796" t="s">
        <v>2597</v>
      </c>
      <c r="D106" s="1796" t="s">
        <v>2598</v>
      </c>
      <c r="E106" s="1796" t="s">
        <v>2599</v>
      </c>
      <c r="F106" s="1796" t="s">
        <v>2202</v>
      </c>
      <c r="G106" s="1796" t="s">
        <v>2600</v>
      </c>
      <c r="H106" s="1796" t="s">
        <v>18</v>
      </c>
      <c r="I106" s="1796" t="s">
        <v>607</v>
      </c>
    </row>
    <row r="107" spans="1:9" ht="11.25" customHeight="1">
      <c r="A107" s="1796" t="s">
        <v>2193</v>
      </c>
      <c r="B107" s="1796" t="s">
        <v>14</v>
      </c>
      <c r="C107" s="1796" t="s">
        <v>2601</v>
      </c>
      <c r="D107" s="1796" t="s">
        <v>2602</v>
      </c>
      <c r="E107" s="1796" t="s">
        <v>2603</v>
      </c>
      <c r="F107" s="1796" t="s">
        <v>2604</v>
      </c>
      <c r="G107" s="1796" t="s">
        <v>2605</v>
      </c>
      <c r="H107" s="1796" t="s">
        <v>18</v>
      </c>
      <c r="I107" s="1796" t="s">
        <v>607</v>
      </c>
    </row>
    <row r="108" spans="1:9" ht="11.25" customHeight="1">
      <c r="A108" s="1796" t="s">
        <v>2193</v>
      </c>
      <c r="B108" s="1796" t="s">
        <v>14</v>
      </c>
      <c r="C108" s="1796" t="s">
        <v>2606</v>
      </c>
      <c r="D108" s="1796" t="s">
        <v>2607</v>
      </c>
      <c r="E108" s="1796" t="s">
        <v>2608</v>
      </c>
      <c r="F108" s="1796" t="s">
        <v>2239</v>
      </c>
      <c r="G108" s="1796" t="s">
        <v>2609</v>
      </c>
      <c r="H108" s="1796" t="s">
        <v>18</v>
      </c>
      <c r="I108" s="1796" t="s">
        <v>607</v>
      </c>
    </row>
    <row r="109" spans="1:9" ht="11.25" customHeight="1">
      <c r="A109" s="1796" t="s">
        <v>2193</v>
      </c>
      <c r="B109" s="1796" t="s">
        <v>14</v>
      </c>
      <c r="C109" s="1796" t="s">
        <v>2610</v>
      </c>
      <c r="D109" s="1796" t="s">
        <v>2611</v>
      </c>
      <c r="E109" s="1796" t="s">
        <v>2612</v>
      </c>
      <c r="F109" s="1796" t="s">
        <v>2239</v>
      </c>
      <c r="G109" s="1796" t="s">
        <v>2613</v>
      </c>
      <c r="H109" s="1796" t="s">
        <v>18</v>
      </c>
      <c r="I109" s="1796" t="s">
        <v>607</v>
      </c>
    </row>
    <row r="110" spans="1:9" ht="11.25" customHeight="1">
      <c r="A110" s="1796" t="s">
        <v>2193</v>
      </c>
      <c r="B110" s="1796" t="s">
        <v>14</v>
      </c>
      <c r="C110" s="1796" t="s">
        <v>2614</v>
      </c>
      <c r="D110" s="1796" t="s">
        <v>2615</v>
      </c>
      <c r="E110" s="1796" t="s">
        <v>2616</v>
      </c>
      <c r="F110" s="1796" t="s">
        <v>2444</v>
      </c>
      <c r="G110" s="1796" t="s">
        <v>18</v>
      </c>
      <c r="H110" s="1796" t="s">
        <v>18</v>
      </c>
      <c r="I110" s="1796" t="s">
        <v>607</v>
      </c>
    </row>
    <row r="111" spans="1:9" ht="11.25" customHeight="1">
      <c r="A111" s="1796" t="s">
        <v>2193</v>
      </c>
      <c r="B111" s="1796" t="s">
        <v>14</v>
      </c>
      <c r="C111" s="1796" t="s">
        <v>2617</v>
      </c>
      <c r="D111" s="1796" t="s">
        <v>2618</v>
      </c>
      <c r="E111" s="1796" t="s">
        <v>2619</v>
      </c>
      <c r="F111" s="1796" t="s">
        <v>2344</v>
      </c>
      <c r="G111" s="1796" t="s">
        <v>2620</v>
      </c>
      <c r="H111" s="1796" t="s">
        <v>18</v>
      </c>
      <c r="I111" s="1796" t="s">
        <v>607</v>
      </c>
    </row>
    <row r="112" spans="1:9" ht="11.25" customHeight="1">
      <c r="A112" s="1796" t="s">
        <v>2193</v>
      </c>
      <c r="B112" s="1796" t="s">
        <v>14</v>
      </c>
      <c r="C112" s="1796" t="s">
        <v>2621</v>
      </c>
      <c r="D112" s="1796" t="s">
        <v>2622</v>
      </c>
      <c r="E112" s="1796" t="s">
        <v>2623</v>
      </c>
      <c r="F112" s="1796" t="s">
        <v>2239</v>
      </c>
      <c r="G112" s="1796" t="s">
        <v>2624</v>
      </c>
      <c r="H112" s="1796" t="s">
        <v>18</v>
      </c>
      <c r="I112" s="1796" t="s">
        <v>607</v>
      </c>
    </row>
    <row r="113" spans="1:9" ht="11.25" customHeight="1">
      <c r="A113" s="1796" t="s">
        <v>2193</v>
      </c>
      <c r="B113" s="1796" t="s">
        <v>14</v>
      </c>
      <c r="C113" s="1796" t="s">
        <v>2625</v>
      </c>
      <c r="D113" s="1796" t="s">
        <v>2626</v>
      </c>
      <c r="E113" s="1796" t="s">
        <v>2627</v>
      </c>
      <c r="F113" s="1796" t="s">
        <v>2239</v>
      </c>
      <c r="G113" s="1796" t="s">
        <v>2628</v>
      </c>
      <c r="H113" s="1796" t="s">
        <v>18</v>
      </c>
      <c r="I113" s="1796" t="s">
        <v>607</v>
      </c>
    </row>
    <row r="114" spans="1:9" ht="11.25" customHeight="1">
      <c r="A114" s="1796" t="s">
        <v>2193</v>
      </c>
      <c r="B114" s="1796" t="s">
        <v>14</v>
      </c>
      <c r="C114" s="1796" t="s">
        <v>2629</v>
      </c>
      <c r="D114" s="1796" t="s">
        <v>2630</v>
      </c>
      <c r="E114" s="1796" t="s">
        <v>2631</v>
      </c>
      <c r="F114" s="1796" t="s">
        <v>2239</v>
      </c>
      <c r="G114" s="1796" t="s">
        <v>2632</v>
      </c>
      <c r="H114" s="1796" t="s">
        <v>18</v>
      </c>
      <c r="I114" s="1796" t="s">
        <v>607</v>
      </c>
    </row>
    <row r="115" spans="1:9" ht="11.25" customHeight="1">
      <c r="A115" s="1796" t="s">
        <v>2193</v>
      </c>
      <c r="B115" s="1796" t="s">
        <v>14</v>
      </c>
      <c r="C115" s="1796" t="s">
        <v>2633</v>
      </c>
      <c r="D115" s="1796" t="s">
        <v>2634</v>
      </c>
      <c r="E115" s="1796" t="s">
        <v>2635</v>
      </c>
      <c r="F115" s="1796" t="s">
        <v>2358</v>
      </c>
      <c r="G115" s="1796" t="s">
        <v>2636</v>
      </c>
      <c r="H115" s="1796" t="s">
        <v>18</v>
      </c>
      <c r="I115" s="1796" t="s">
        <v>607</v>
      </c>
    </row>
    <row r="116" spans="1:9" ht="11.25" customHeight="1">
      <c r="A116" s="1796" t="s">
        <v>2193</v>
      </c>
      <c r="B116" s="1796" t="s">
        <v>14</v>
      </c>
      <c r="C116" s="1796" t="s">
        <v>2637</v>
      </c>
      <c r="D116" s="1796" t="s">
        <v>2638</v>
      </c>
      <c r="E116" s="1796" t="s">
        <v>2639</v>
      </c>
      <c r="F116" s="1796" t="s">
        <v>2640</v>
      </c>
      <c r="G116" s="1796" t="s">
        <v>2641</v>
      </c>
      <c r="H116" s="1796" t="s">
        <v>18</v>
      </c>
      <c r="I116" s="1796" t="s">
        <v>607</v>
      </c>
    </row>
    <row r="117" spans="1:9" ht="11.25" customHeight="1">
      <c r="A117" s="1796" t="s">
        <v>2193</v>
      </c>
      <c r="B117" s="1796" t="s">
        <v>14</v>
      </c>
      <c r="C117" s="1796" t="s">
        <v>2642</v>
      </c>
      <c r="D117" s="1796" t="s">
        <v>2643</v>
      </c>
      <c r="E117" s="1796" t="s">
        <v>2644</v>
      </c>
      <c r="F117" s="1796" t="s">
        <v>2640</v>
      </c>
      <c r="G117" s="1796" t="s">
        <v>2645</v>
      </c>
      <c r="H117" s="1796" t="s">
        <v>18</v>
      </c>
      <c r="I117" s="1796" t="s">
        <v>607</v>
      </c>
    </row>
    <row r="118" spans="1:9" ht="11.25" customHeight="1">
      <c r="A118" s="1796" t="s">
        <v>2193</v>
      </c>
      <c r="B118" s="1796" t="s">
        <v>14</v>
      </c>
      <c r="C118" s="1796" t="s">
        <v>2646</v>
      </c>
      <c r="D118" s="1796" t="s">
        <v>2647</v>
      </c>
      <c r="E118" s="1796" t="s">
        <v>2648</v>
      </c>
      <c r="F118" s="1796" t="s">
        <v>2202</v>
      </c>
      <c r="G118" s="1796" t="s">
        <v>2649</v>
      </c>
      <c r="H118" s="1796" t="s">
        <v>18</v>
      </c>
      <c r="I118" s="1796" t="s">
        <v>607</v>
      </c>
    </row>
    <row r="119" spans="1:9" ht="11.25" customHeight="1">
      <c r="A119" s="1796" t="s">
        <v>2193</v>
      </c>
      <c r="B119" s="1796" t="s">
        <v>14</v>
      </c>
      <c r="C119" s="1796" t="s">
        <v>2650</v>
      </c>
      <c r="D119" s="1796" t="s">
        <v>2651</v>
      </c>
      <c r="E119" s="1796" t="s">
        <v>2652</v>
      </c>
      <c r="F119" s="1796" t="s">
        <v>2206</v>
      </c>
      <c r="G119" s="1796" t="s">
        <v>2653</v>
      </c>
      <c r="H119" s="1796" t="s">
        <v>18</v>
      </c>
      <c r="I119" s="1796" t="s">
        <v>607</v>
      </c>
    </row>
    <row r="120" spans="1:9" ht="11.25" customHeight="1">
      <c r="A120" s="1796" t="s">
        <v>2193</v>
      </c>
      <c r="B120" s="1796" t="s">
        <v>14</v>
      </c>
      <c r="C120" s="1796" t="s">
        <v>2654</v>
      </c>
      <c r="D120" s="1796" t="s">
        <v>2655</v>
      </c>
      <c r="E120" s="1796" t="s">
        <v>2656</v>
      </c>
      <c r="F120" s="1796" t="s">
        <v>2657</v>
      </c>
      <c r="G120" s="1796" t="s">
        <v>2658</v>
      </c>
      <c r="H120" s="1796" t="s">
        <v>18</v>
      </c>
      <c r="I120" s="1796" t="s">
        <v>607</v>
      </c>
    </row>
    <row r="121" spans="1:9" ht="11.25" customHeight="1">
      <c r="A121" s="1796" t="s">
        <v>2193</v>
      </c>
      <c r="B121" s="1796" t="s">
        <v>14</v>
      </c>
      <c r="C121" s="1796" t="s">
        <v>2659</v>
      </c>
      <c r="D121" s="1796" t="s">
        <v>2660</v>
      </c>
      <c r="E121" s="1796" t="s">
        <v>2661</v>
      </c>
      <c r="F121" s="1796" t="s">
        <v>2261</v>
      </c>
      <c r="G121" s="1796" t="s">
        <v>18</v>
      </c>
      <c r="H121" s="1796" t="s">
        <v>18</v>
      </c>
      <c r="I121" s="1796" t="s">
        <v>607</v>
      </c>
    </row>
    <row r="122" spans="1:9" ht="11.25" customHeight="1">
      <c r="A122" s="1796" t="s">
        <v>2193</v>
      </c>
      <c r="B122" s="1796" t="s">
        <v>14</v>
      </c>
      <c r="C122" s="1796" t="s">
        <v>2662</v>
      </c>
      <c r="D122" s="1796" t="s">
        <v>2663</v>
      </c>
      <c r="E122" s="1796" t="s">
        <v>2664</v>
      </c>
      <c r="F122" s="1796" t="s">
        <v>51</v>
      </c>
      <c r="G122" s="1796" t="s">
        <v>2665</v>
      </c>
      <c r="H122" s="1796" t="s">
        <v>18</v>
      </c>
      <c r="I122" s="1796" t="s">
        <v>607</v>
      </c>
    </row>
    <row r="123" spans="1:9" ht="11.25" customHeight="1">
      <c r="A123" s="1796" t="s">
        <v>2193</v>
      </c>
      <c r="B123" s="1796" t="s">
        <v>14</v>
      </c>
      <c r="C123" s="1796" t="s">
        <v>2666</v>
      </c>
      <c r="D123" s="1796" t="s">
        <v>2667</v>
      </c>
      <c r="E123" s="1796" t="s">
        <v>2668</v>
      </c>
      <c r="F123" s="1796" t="s">
        <v>2206</v>
      </c>
      <c r="G123" s="1796" t="s">
        <v>18</v>
      </c>
      <c r="H123" s="1796" t="s">
        <v>18</v>
      </c>
      <c r="I123" s="1796" t="s">
        <v>607</v>
      </c>
    </row>
    <row r="124" spans="1:9" ht="11.25" customHeight="1">
      <c r="A124" s="1796" t="s">
        <v>2193</v>
      </c>
      <c r="B124" s="1796" t="s">
        <v>14</v>
      </c>
      <c r="C124" s="1796" t="s">
        <v>2669</v>
      </c>
      <c r="D124" s="1796" t="s">
        <v>2670</v>
      </c>
      <c r="E124" s="1796" t="s">
        <v>2671</v>
      </c>
      <c r="F124" s="1796" t="s">
        <v>2657</v>
      </c>
      <c r="G124" s="1796" t="s">
        <v>18</v>
      </c>
      <c r="H124" s="1796" t="s">
        <v>18</v>
      </c>
      <c r="I124" s="1796" t="s">
        <v>607</v>
      </c>
    </row>
    <row r="125" spans="1:9" ht="11.25" customHeight="1">
      <c r="A125" s="1796" t="s">
        <v>2193</v>
      </c>
      <c r="B125" s="1796" t="s">
        <v>14</v>
      </c>
      <c r="C125" s="1796" t="s">
        <v>2672</v>
      </c>
      <c r="D125" s="1796" t="s">
        <v>2673</v>
      </c>
      <c r="E125" s="1796" t="s">
        <v>2674</v>
      </c>
      <c r="F125" s="1796" t="s">
        <v>2675</v>
      </c>
      <c r="G125" s="1796" t="s">
        <v>2676</v>
      </c>
      <c r="H125" s="1796" t="s">
        <v>18</v>
      </c>
      <c r="I125" s="1796" t="s">
        <v>607</v>
      </c>
    </row>
    <row r="126" spans="1:9" ht="11.25" customHeight="1">
      <c r="A126" s="1796" t="s">
        <v>2193</v>
      </c>
      <c r="B126" s="1796" t="s">
        <v>14</v>
      </c>
      <c r="C126" s="1796" t="s">
        <v>2677</v>
      </c>
      <c r="D126" s="1796" t="s">
        <v>2678</v>
      </c>
      <c r="E126" s="1796" t="s">
        <v>2679</v>
      </c>
      <c r="F126" s="1796" t="s">
        <v>2453</v>
      </c>
      <c r="G126" s="1796" t="s">
        <v>2680</v>
      </c>
      <c r="H126" s="1796" t="s">
        <v>18</v>
      </c>
      <c r="I126" s="1796" t="s">
        <v>607</v>
      </c>
    </row>
    <row r="127" spans="1:9" ht="11.25" customHeight="1">
      <c r="A127" s="1796" t="s">
        <v>2193</v>
      </c>
      <c r="B127" s="1796" t="s">
        <v>14</v>
      </c>
      <c r="C127" s="1796" t="s">
        <v>2681</v>
      </c>
      <c r="D127" s="1796" t="s">
        <v>2682</v>
      </c>
      <c r="E127" s="1796" t="s">
        <v>2683</v>
      </c>
      <c r="F127" s="1796" t="s">
        <v>2211</v>
      </c>
      <c r="G127" s="1796" t="s">
        <v>2684</v>
      </c>
      <c r="H127" s="1796" t="s">
        <v>18</v>
      </c>
      <c r="I127" s="1796" t="s">
        <v>607</v>
      </c>
    </row>
    <row r="128" spans="1:9" ht="11.25" customHeight="1">
      <c r="A128" s="1796" t="s">
        <v>2193</v>
      </c>
      <c r="B128" s="1796" t="s">
        <v>14</v>
      </c>
      <c r="C128" s="1796" t="s">
        <v>2685</v>
      </c>
      <c r="D128" s="1796" t="s">
        <v>2686</v>
      </c>
      <c r="E128" s="1796" t="s">
        <v>2687</v>
      </c>
      <c r="F128" s="1796" t="s">
        <v>2239</v>
      </c>
      <c r="G128" s="1796" t="s">
        <v>2613</v>
      </c>
      <c r="H128" s="1796" t="s">
        <v>18</v>
      </c>
      <c r="I128" s="1796" t="s">
        <v>607</v>
      </c>
    </row>
    <row r="129" spans="1:9" ht="11.25" customHeight="1">
      <c r="A129" s="1796" t="s">
        <v>2193</v>
      </c>
      <c r="B129" s="1796" t="s">
        <v>14</v>
      </c>
      <c r="C129" s="1796" t="s">
        <v>2688</v>
      </c>
      <c r="D129" s="1796" t="s">
        <v>2689</v>
      </c>
      <c r="E129" s="1796" t="s">
        <v>2690</v>
      </c>
      <c r="F129" s="1796" t="s">
        <v>2448</v>
      </c>
      <c r="G129" s="1796" t="s">
        <v>18</v>
      </c>
      <c r="H129" s="1796" t="s">
        <v>18</v>
      </c>
      <c r="I129" s="1796" t="s">
        <v>607</v>
      </c>
    </row>
    <row r="130" spans="1:9" ht="11.25" customHeight="1">
      <c r="A130" s="1796" t="s">
        <v>2193</v>
      </c>
      <c r="B130" s="1796" t="s">
        <v>14</v>
      </c>
      <c r="C130" s="1796" t="s">
        <v>2691</v>
      </c>
      <c r="D130" s="1796" t="s">
        <v>2692</v>
      </c>
      <c r="E130" s="1796" t="s">
        <v>2693</v>
      </c>
      <c r="F130" s="1796" t="s">
        <v>2239</v>
      </c>
      <c r="G130" s="1796" t="s">
        <v>2694</v>
      </c>
      <c r="H130" s="1796" t="s">
        <v>18</v>
      </c>
      <c r="I130" s="1796" t="s">
        <v>607</v>
      </c>
    </row>
    <row r="131" spans="1:9" ht="11.25" customHeight="1">
      <c r="A131" s="1796" t="s">
        <v>2193</v>
      </c>
      <c r="B131" s="1796" t="s">
        <v>14</v>
      </c>
      <c r="C131" s="1796" t="s">
        <v>2695</v>
      </c>
      <c r="D131" s="1796" t="s">
        <v>2696</v>
      </c>
      <c r="E131" s="1796" t="s">
        <v>2697</v>
      </c>
      <c r="F131" s="1796" t="s">
        <v>2239</v>
      </c>
      <c r="G131" s="1796" t="s">
        <v>2698</v>
      </c>
      <c r="H131" s="1796" t="s">
        <v>18</v>
      </c>
      <c r="I131" s="1796" t="s">
        <v>607</v>
      </c>
    </row>
    <row r="132" spans="1:9" ht="11.25" customHeight="1">
      <c r="A132" s="1796" t="s">
        <v>2193</v>
      </c>
      <c r="B132" s="1796" t="s">
        <v>14</v>
      </c>
      <c r="C132" s="1796" t="s">
        <v>2699</v>
      </c>
      <c r="D132" s="1796" t="s">
        <v>2700</v>
      </c>
      <c r="E132" s="1796" t="s">
        <v>2701</v>
      </c>
      <c r="F132" s="1796" t="s">
        <v>2221</v>
      </c>
      <c r="G132" s="1796" t="s">
        <v>18</v>
      </c>
      <c r="H132" s="1796" t="s">
        <v>18</v>
      </c>
      <c r="I132" s="1796" t="s">
        <v>607</v>
      </c>
    </row>
    <row r="133" spans="1:9" ht="11.25" customHeight="1">
      <c r="A133" s="1796" t="s">
        <v>2193</v>
      </c>
      <c r="B133" s="1796" t="s">
        <v>14</v>
      </c>
      <c r="C133" s="1796" t="s">
        <v>2702</v>
      </c>
      <c r="D133" s="1796" t="s">
        <v>2703</v>
      </c>
      <c r="E133" s="1796" t="s">
        <v>2704</v>
      </c>
      <c r="F133" s="1796" t="s">
        <v>2239</v>
      </c>
      <c r="G133" s="1796" t="s">
        <v>2705</v>
      </c>
      <c r="H133" s="1796" t="s">
        <v>18</v>
      </c>
      <c r="I133" s="1796" t="s">
        <v>607</v>
      </c>
    </row>
    <row r="134" spans="1:9" ht="11.25" customHeight="1">
      <c r="A134" s="1796" t="s">
        <v>2193</v>
      </c>
      <c r="B134" s="1796" t="s">
        <v>14</v>
      </c>
      <c r="C134" s="1796" t="s">
        <v>2706</v>
      </c>
      <c r="D134" s="1796" t="s">
        <v>2707</v>
      </c>
      <c r="E134" s="1796" t="s">
        <v>2708</v>
      </c>
      <c r="F134" s="1796" t="s">
        <v>2239</v>
      </c>
      <c r="G134" s="1796" t="s">
        <v>2709</v>
      </c>
      <c r="H134" s="1796" t="s">
        <v>18</v>
      </c>
      <c r="I134" s="1796" t="s">
        <v>607</v>
      </c>
    </row>
    <row r="135" spans="1:9" ht="11.25" customHeight="1">
      <c r="A135" s="1796" t="s">
        <v>2193</v>
      </c>
      <c r="B135" s="1796" t="s">
        <v>14</v>
      </c>
      <c r="C135" s="1796" t="s">
        <v>2710</v>
      </c>
      <c r="D135" s="1796" t="s">
        <v>2711</v>
      </c>
      <c r="E135" s="1796" t="s">
        <v>2712</v>
      </c>
      <c r="F135" s="1796" t="s">
        <v>2281</v>
      </c>
      <c r="G135" s="1796" t="s">
        <v>2713</v>
      </c>
      <c r="H135" s="1796" t="s">
        <v>18</v>
      </c>
      <c r="I135" s="1796" t="s">
        <v>607</v>
      </c>
    </row>
    <row r="136" spans="1:9" ht="11.25" customHeight="1">
      <c r="A136" s="1796" t="s">
        <v>2193</v>
      </c>
      <c r="B136" s="1796" t="s">
        <v>14</v>
      </c>
      <c r="C136" s="1796" t="s">
        <v>2714</v>
      </c>
      <c r="D136" s="1796" t="s">
        <v>2715</v>
      </c>
      <c r="E136" s="1796" t="s">
        <v>2716</v>
      </c>
      <c r="F136" s="1796" t="s">
        <v>2717</v>
      </c>
      <c r="G136" s="1796" t="s">
        <v>2718</v>
      </c>
      <c r="H136" s="1796" t="s">
        <v>18</v>
      </c>
      <c r="I136" s="1796" t="s">
        <v>607</v>
      </c>
    </row>
    <row r="137" spans="1:9" ht="11.25" customHeight="1">
      <c r="A137" s="1796" t="s">
        <v>2193</v>
      </c>
      <c r="B137" s="1796" t="s">
        <v>14</v>
      </c>
      <c r="C137" s="1796" t="s">
        <v>2719</v>
      </c>
      <c r="D137" s="1796" t="s">
        <v>2720</v>
      </c>
      <c r="E137" s="1796" t="s">
        <v>2721</v>
      </c>
      <c r="F137" s="1796" t="s">
        <v>2239</v>
      </c>
      <c r="G137" s="1796" t="s">
        <v>18</v>
      </c>
      <c r="H137" s="1796" t="s">
        <v>18</v>
      </c>
      <c r="I137" s="1796" t="s">
        <v>607</v>
      </c>
    </row>
    <row r="138" spans="1:9" ht="11.25" customHeight="1">
      <c r="A138" s="1796" t="s">
        <v>2193</v>
      </c>
      <c r="B138" s="1796" t="s">
        <v>14</v>
      </c>
      <c r="C138" s="1796" t="s">
        <v>2722</v>
      </c>
      <c r="D138" s="1796" t="s">
        <v>2723</v>
      </c>
      <c r="E138" s="1796" t="s">
        <v>2724</v>
      </c>
      <c r="F138" s="1796" t="s">
        <v>2375</v>
      </c>
      <c r="G138" s="1796" t="s">
        <v>18</v>
      </c>
      <c r="H138" s="1796" t="s">
        <v>18</v>
      </c>
      <c r="I138" s="1796" t="s">
        <v>607</v>
      </c>
    </row>
    <row r="139" spans="1:9" ht="11.25" customHeight="1">
      <c r="A139" s="1796" t="s">
        <v>2193</v>
      </c>
      <c r="B139" s="1796" t="s">
        <v>14</v>
      </c>
      <c r="C139" s="1796" t="s">
        <v>2725</v>
      </c>
      <c r="D139" s="1796" t="s">
        <v>2726</v>
      </c>
      <c r="E139" s="1796" t="s">
        <v>2243</v>
      </c>
      <c r="F139" s="1796" t="s">
        <v>2727</v>
      </c>
      <c r="G139" s="1796" t="s">
        <v>2728</v>
      </c>
      <c r="H139" s="1796" t="s">
        <v>18</v>
      </c>
      <c r="I139" s="1796" t="s">
        <v>607</v>
      </c>
    </row>
    <row r="140" spans="1:9" ht="11.25" customHeight="1">
      <c r="A140" s="1796" t="s">
        <v>2193</v>
      </c>
      <c r="B140" s="1796" t="s">
        <v>14</v>
      </c>
      <c r="C140" s="1796" t="s">
        <v>2729</v>
      </c>
      <c r="D140" s="1796" t="s">
        <v>2726</v>
      </c>
      <c r="E140" s="1796" t="s">
        <v>2243</v>
      </c>
      <c r="F140" s="1796" t="s">
        <v>2730</v>
      </c>
      <c r="G140" s="1796" t="s">
        <v>18</v>
      </c>
      <c r="H140" s="1796" t="s">
        <v>18</v>
      </c>
      <c r="I140" s="1796" t="s">
        <v>607</v>
      </c>
    </row>
    <row r="141" spans="1:9" ht="11.25" customHeight="1">
      <c r="A141" s="1796" t="s">
        <v>2193</v>
      </c>
      <c r="B141" s="1796" t="s">
        <v>14</v>
      </c>
      <c r="C141" s="1796" t="s">
        <v>2731</v>
      </c>
      <c r="D141" s="1796" t="s">
        <v>2732</v>
      </c>
      <c r="E141" s="1796" t="s">
        <v>2733</v>
      </c>
      <c r="F141" s="1796" t="s">
        <v>2734</v>
      </c>
      <c r="G141" s="1796" t="s">
        <v>18</v>
      </c>
      <c r="H141" s="1796" t="s">
        <v>18</v>
      </c>
      <c r="I141" s="1796" t="s">
        <v>607</v>
      </c>
    </row>
    <row r="142" spans="1:9" ht="11.25" customHeight="1">
      <c r="A142" s="1796" t="s">
        <v>2193</v>
      </c>
      <c r="B142" s="1796" t="s">
        <v>14</v>
      </c>
      <c r="C142" s="1796" t="s">
        <v>2735</v>
      </c>
      <c r="D142" s="1796" t="s">
        <v>2736</v>
      </c>
      <c r="E142" s="1796" t="s">
        <v>2737</v>
      </c>
      <c r="F142" s="1796" t="s">
        <v>2738</v>
      </c>
      <c r="G142" s="1796" t="s">
        <v>18</v>
      </c>
      <c r="H142" s="1796" t="s">
        <v>18</v>
      </c>
      <c r="I142" s="1796" t="s">
        <v>607</v>
      </c>
    </row>
    <row r="143" spans="1:9" ht="11.25" customHeight="1">
      <c r="A143" s="1796" t="s">
        <v>2193</v>
      </c>
      <c r="B143" s="1796" t="s">
        <v>14</v>
      </c>
      <c r="C143" s="1796" t="s">
        <v>2739</v>
      </c>
      <c r="D143" s="1796" t="s">
        <v>2740</v>
      </c>
      <c r="E143" s="1796" t="s">
        <v>2741</v>
      </c>
      <c r="F143" s="1796" t="s">
        <v>2202</v>
      </c>
      <c r="G143" s="1796" t="s">
        <v>18</v>
      </c>
      <c r="H143" s="1796" t="s">
        <v>18</v>
      </c>
      <c r="I143" s="1796" t="s">
        <v>607</v>
      </c>
    </row>
    <row r="144" spans="1:9" ht="11.25" customHeight="1">
      <c r="A144" s="1796" t="s">
        <v>2193</v>
      </c>
      <c r="B144" s="1796" t="s">
        <v>14</v>
      </c>
      <c r="C144" s="1796" t="s">
        <v>2742</v>
      </c>
      <c r="D144" s="1796" t="s">
        <v>2743</v>
      </c>
      <c r="E144" s="1796" t="s">
        <v>2744</v>
      </c>
      <c r="F144" s="1796" t="s">
        <v>2439</v>
      </c>
      <c r="G144" s="1796" t="s">
        <v>2745</v>
      </c>
      <c r="H144" s="1796" t="s">
        <v>18</v>
      </c>
      <c r="I144" s="1796" t="s">
        <v>607</v>
      </c>
    </row>
    <row r="145" spans="1:9" ht="11.25" customHeight="1">
      <c r="A145" s="1796" t="s">
        <v>2193</v>
      </c>
      <c r="B145" s="1796" t="s">
        <v>14</v>
      </c>
      <c r="C145" s="1796" t="s">
        <v>2746</v>
      </c>
      <c r="D145" s="1796" t="s">
        <v>2747</v>
      </c>
      <c r="E145" s="1796" t="s">
        <v>2748</v>
      </c>
      <c r="F145" s="1796" t="s">
        <v>2281</v>
      </c>
      <c r="G145" s="1796" t="s">
        <v>18</v>
      </c>
      <c r="H145" s="1796" t="s">
        <v>18</v>
      </c>
      <c r="I145" s="1796" t="s">
        <v>607</v>
      </c>
    </row>
    <row r="146" spans="1:9" ht="11.25" customHeight="1">
      <c r="A146" s="1796" t="s">
        <v>2193</v>
      </c>
      <c r="B146" s="1796" t="s">
        <v>14</v>
      </c>
      <c r="C146" s="1796" t="s">
        <v>2749</v>
      </c>
      <c r="D146" s="1796" t="s">
        <v>2750</v>
      </c>
      <c r="E146" s="1796" t="s">
        <v>2751</v>
      </c>
      <c r="F146" s="1796" t="s">
        <v>2752</v>
      </c>
      <c r="G146" s="1796" t="s">
        <v>18</v>
      </c>
      <c r="H146" s="1796" t="s">
        <v>18</v>
      </c>
      <c r="I146" s="1796" t="s">
        <v>607</v>
      </c>
    </row>
    <row r="147" spans="1:9" ht="11.25" customHeight="1">
      <c r="A147" s="1796" t="s">
        <v>2193</v>
      </c>
      <c r="B147" s="1796" t="s">
        <v>14</v>
      </c>
      <c r="C147" s="1796" t="s">
        <v>2753</v>
      </c>
      <c r="D147" s="1796" t="s">
        <v>2754</v>
      </c>
      <c r="E147" s="1796" t="s">
        <v>2755</v>
      </c>
      <c r="F147" s="1796" t="s">
        <v>2375</v>
      </c>
      <c r="G147" s="1796" t="s">
        <v>18</v>
      </c>
      <c r="H147" s="1796" t="s">
        <v>18</v>
      </c>
      <c r="I147" s="1796" t="s">
        <v>607</v>
      </c>
    </row>
    <row r="148" spans="1:9" ht="11.25" customHeight="1">
      <c r="A148" s="1796" t="s">
        <v>2193</v>
      </c>
      <c r="B148" s="1796" t="s">
        <v>14</v>
      </c>
      <c r="C148" s="1796" t="s">
        <v>2194</v>
      </c>
      <c r="D148" s="1796" t="s">
        <v>2195</v>
      </c>
      <c r="E148" s="1796" t="s">
        <v>2196</v>
      </c>
      <c r="F148" s="1796" t="s">
        <v>2197</v>
      </c>
      <c r="G148" s="1796" t="s">
        <v>2198</v>
      </c>
      <c r="H148" s="1796" t="s">
        <v>18</v>
      </c>
      <c r="I148" s="1796" t="s">
        <v>1020</v>
      </c>
    </row>
    <row r="149" spans="1:9" ht="11.25" customHeight="1">
      <c r="A149" s="1796" t="s">
        <v>2193</v>
      </c>
      <c r="B149" s="1796" t="s">
        <v>14</v>
      </c>
      <c r="C149" s="1796" t="s">
        <v>2203</v>
      </c>
      <c r="D149" s="1796" t="s">
        <v>2204</v>
      </c>
      <c r="E149" s="1796" t="s">
        <v>2205</v>
      </c>
      <c r="F149" s="1796" t="s">
        <v>2206</v>
      </c>
      <c r="G149" s="1796" t="s">
        <v>2207</v>
      </c>
      <c r="H149" s="1796" t="s">
        <v>18</v>
      </c>
      <c r="I149" s="1796" t="s">
        <v>1020</v>
      </c>
    </row>
    <row r="150" spans="1:9" ht="11.25" customHeight="1">
      <c r="A150" s="1796" t="s">
        <v>2193</v>
      </c>
      <c r="B150" s="1796" t="s">
        <v>14</v>
      </c>
      <c r="C150" s="1796" t="s">
        <v>2208</v>
      </c>
      <c r="D150" s="1796" t="s">
        <v>2209</v>
      </c>
      <c r="E150" s="1796" t="s">
        <v>2210</v>
      </c>
      <c r="F150" s="1796" t="s">
        <v>2211</v>
      </c>
      <c r="G150" s="1796" t="s">
        <v>2212</v>
      </c>
      <c r="H150" s="1796" t="s">
        <v>18</v>
      </c>
      <c r="I150" s="1796" t="s">
        <v>1020</v>
      </c>
    </row>
    <row r="151" spans="1:9" ht="11.25" customHeight="1">
      <c r="A151" s="1796" t="s">
        <v>2193</v>
      </c>
      <c r="B151" s="1796" t="s">
        <v>14</v>
      </c>
      <c r="C151" s="1796" t="s">
        <v>2213</v>
      </c>
      <c r="D151" s="1796" t="s">
        <v>2214</v>
      </c>
      <c r="E151" s="1796" t="s">
        <v>2215</v>
      </c>
      <c r="F151" s="1796" t="s">
        <v>2216</v>
      </c>
      <c r="G151" s="1796" t="s">
        <v>2217</v>
      </c>
      <c r="H151" s="1796" t="s">
        <v>18</v>
      </c>
      <c r="I151" s="1796" t="s">
        <v>1020</v>
      </c>
    </row>
    <row r="152" spans="1:9" ht="11.25" customHeight="1">
      <c r="A152" s="1796" t="s">
        <v>2193</v>
      </c>
      <c r="B152" s="1796" t="s">
        <v>14</v>
      </c>
      <c r="C152" s="1796" t="s">
        <v>2218</v>
      </c>
      <c r="D152" s="1796" t="s">
        <v>2219</v>
      </c>
      <c r="E152" s="1796" t="s">
        <v>2220</v>
      </c>
      <c r="F152" s="1796" t="s">
        <v>2221</v>
      </c>
      <c r="G152" s="1796" t="s">
        <v>2222</v>
      </c>
      <c r="H152" s="1796" t="s">
        <v>18</v>
      </c>
      <c r="I152" s="1796" t="s">
        <v>1020</v>
      </c>
    </row>
    <row r="153" spans="1:9" ht="11.25" customHeight="1">
      <c r="A153" s="1796" t="s">
        <v>2193</v>
      </c>
      <c r="B153" s="1796" t="s">
        <v>14</v>
      </c>
      <c r="C153" s="1796" t="s">
        <v>2228</v>
      </c>
      <c r="D153" s="1796" t="s">
        <v>2229</v>
      </c>
      <c r="E153" s="1796" t="s">
        <v>2230</v>
      </c>
      <c r="F153" s="1796" t="s">
        <v>2231</v>
      </c>
      <c r="G153" s="1796" t="s">
        <v>18</v>
      </c>
      <c r="H153" s="1796" t="s">
        <v>18</v>
      </c>
      <c r="I153" s="1796" t="s">
        <v>1020</v>
      </c>
    </row>
    <row r="154" spans="1:9" ht="11.25" customHeight="1">
      <c r="A154" s="1796" t="s">
        <v>2193</v>
      </c>
      <c r="B154" s="1796" t="s">
        <v>14</v>
      </c>
      <c r="C154" s="1796" t="s">
        <v>2232</v>
      </c>
      <c r="D154" s="1796" t="s">
        <v>2233</v>
      </c>
      <c r="E154" s="1796" t="s">
        <v>2234</v>
      </c>
      <c r="F154" s="1796" t="s">
        <v>2235</v>
      </c>
      <c r="G154" s="1796" t="s">
        <v>18</v>
      </c>
      <c r="H154" s="1796" t="s">
        <v>18</v>
      </c>
      <c r="I154" s="1796" t="s">
        <v>1020</v>
      </c>
    </row>
    <row r="155" spans="1:9" ht="11.25" customHeight="1">
      <c r="A155" s="1796" t="s">
        <v>2193</v>
      </c>
      <c r="B155" s="1796" t="s">
        <v>14</v>
      </c>
      <c r="C155" s="1796" t="s">
        <v>18</v>
      </c>
      <c r="D155" s="1796" t="s">
        <v>2246</v>
      </c>
      <c r="E155" s="1796" t="s">
        <v>2247</v>
      </c>
      <c r="F155" s="1796" t="s">
        <v>2239</v>
      </c>
      <c r="G155" s="1796" t="s">
        <v>18</v>
      </c>
      <c r="H155" s="1796" t="s">
        <v>18</v>
      </c>
      <c r="I155" s="1796" t="s">
        <v>1020</v>
      </c>
    </row>
    <row r="156" spans="1:9" ht="11.25" customHeight="1">
      <c r="A156" s="1796" t="s">
        <v>2193</v>
      </c>
      <c r="B156" s="1796" t="s">
        <v>14</v>
      </c>
      <c r="C156" s="1796" t="s">
        <v>2248</v>
      </c>
      <c r="D156" s="1796" t="s">
        <v>2249</v>
      </c>
      <c r="E156" s="1796" t="s">
        <v>2210</v>
      </c>
      <c r="F156" s="1796" t="s">
        <v>2239</v>
      </c>
      <c r="G156" s="1796" t="s">
        <v>18</v>
      </c>
      <c r="H156" s="1796" t="s">
        <v>18</v>
      </c>
      <c r="I156" s="1796" t="s">
        <v>1020</v>
      </c>
    </row>
    <row r="157" spans="1:9" ht="11.25" customHeight="1">
      <c r="A157" s="1796" t="s">
        <v>2193</v>
      </c>
      <c r="B157" s="1796" t="s">
        <v>14</v>
      </c>
      <c r="C157" s="1796" t="s">
        <v>2266</v>
      </c>
      <c r="D157" s="1796" t="s">
        <v>2267</v>
      </c>
      <c r="E157" s="1796" t="s">
        <v>2268</v>
      </c>
      <c r="F157" s="1796" t="s">
        <v>433</v>
      </c>
      <c r="G157" s="1796" t="s">
        <v>2269</v>
      </c>
      <c r="H157" s="1796" t="s">
        <v>18</v>
      </c>
      <c r="I157" s="1796" t="s">
        <v>1020</v>
      </c>
    </row>
    <row r="158" spans="1:9" ht="11.25" customHeight="1">
      <c r="A158" s="1796" t="s">
        <v>2193</v>
      </c>
      <c r="B158" s="1796" t="s">
        <v>14</v>
      </c>
      <c r="C158" s="1796" t="s">
        <v>2270</v>
      </c>
      <c r="D158" s="1796" t="s">
        <v>2271</v>
      </c>
      <c r="E158" s="1796" t="s">
        <v>2272</v>
      </c>
      <c r="F158" s="1796" t="s">
        <v>433</v>
      </c>
      <c r="G158" s="1796" t="s">
        <v>2273</v>
      </c>
      <c r="H158" s="1796" t="s">
        <v>18</v>
      </c>
      <c r="I158" s="1796" t="s">
        <v>1020</v>
      </c>
    </row>
    <row r="159" spans="1:9" ht="11.25" customHeight="1">
      <c r="A159" s="1796" t="s">
        <v>2193</v>
      </c>
      <c r="B159" s="1796" t="s">
        <v>14</v>
      </c>
      <c r="C159" s="1796" t="s">
        <v>2282</v>
      </c>
      <c r="D159" s="1796" t="s">
        <v>2283</v>
      </c>
      <c r="E159" s="1796" t="s">
        <v>2284</v>
      </c>
      <c r="F159" s="1796" t="s">
        <v>2221</v>
      </c>
      <c r="G159" s="1796" t="s">
        <v>2285</v>
      </c>
      <c r="H159" s="1796" t="s">
        <v>18</v>
      </c>
      <c r="I159" s="1796" t="s">
        <v>1020</v>
      </c>
    </row>
    <row r="160" spans="1:9" ht="11.25" customHeight="1">
      <c r="A160" s="1796" t="s">
        <v>2193</v>
      </c>
      <c r="B160" s="1796" t="s">
        <v>14</v>
      </c>
      <c r="C160" s="1796" t="s">
        <v>2286</v>
      </c>
      <c r="D160" s="1796" t="s">
        <v>2287</v>
      </c>
      <c r="E160" s="1796" t="s">
        <v>2288</v>
      </c>
      <c r="F160" s="1796" t="s">
        <v>2221</v>
      </c>
      <c r="G160" s="1796" t="s">
        <v>18</v>
      </c>
      <c r="H160" s="1796" t="s">
        <v>18</v>
      </c>
      <c r="I160" s="1796" t="s">
        <v>1020</v>
      </c>
    </row>
    <row r="161" spans="1:9" ht="11.25" customHeight="1">
      <c r="A161" s="1796" t="s">
        <v>2193</v>
      </c>
      <c r="B161" s="1796" t="s">
        <v>14</v>
      </c>
      <c r="C161" s="1796" t="s">
        <v>2289</v>
      </c>
      <c r="D161" s="1796" t="s">
        <v>2290</v>
      </c>
      <c r="E161" s="1796" t="s">
        <v>2291</v>
      </c>
      <c r="F161" s="1796" t="s">
        <v>2239</v>
      </c>
      <c r="G161" s="1796" t="s">
        <v>18</v>
      </c>
      <c r="H161" s="1796" t="s">
        <v>18</v>
      </c>
      <c r="I161" s="1796" t="s">
        <v>1020</v>
      </c>
    </row>
    <row r="162" spans="1:9" ht="11.25" customHeight="1">
      <c r="A162" s="1796" t="s">
        <v>2193</v>
      </c>
      <c r="B162" s="1796" t="s">
        <v>14</v>
      </c>
      <c r="C162" s="1796" t="s">
        <v>2351</v>
      </c>
      <c r="D162" s="1796" t="s">
        <v>2352</v>
      </c>
      <c r="E162" s="1796" t="s">
        <v>2353</v>
      </c>
      <c r="F162" s="1796" t="s">
        <v>2216</v>
      </c>
      <c r="G162" s="1796" t="s">
        <v>2354</v>
      </c>
      <c r="H162" s="1796" t="s">
        <v>18</v>
      </c>
      <c r="I162" s="1796" t="s">
        <v>1020</v>
      </c>
    </row>
    <row r="163" spans="1:9" ht="11.25" customHeight="1">
      <c r="A163" s="1796" t="s">
        <v>2193</v>
      </c>
      <c r="B163" s="1796" t="s">
        <v>14</v>
      </c>
      <c r="C163" s="1796" t="s">
        <v>2355</v>
      </c>
      <c r="D163" s="1796" t="s">
        <v>2356</v>
      </c>
      <c r="E163" s="1796" t="s">
        <v>2357</v>
      </c>
      <c r="F163" s="1796" t="s">
        <v>2358</v>
      </c>
      <c r="G163" s="1796" t="s">
        <v>18</v>
      </c>
      <c r="H163" s="1796" t="s">
        <v>18</v>
      </c>
      <c r="I163" s="1796" t="s">
        <v>1020</v>
      </c>
    </row>
    <row r="164" spans="1:9" ht="11.25" customHeight="1">
      <c r="A164" s="1796" t="s">
        <v>2193</v>
      </c>
      <c r="B164" s="1796" t="s">
        <v>14</v>
      </c>
      <c r="C164" s="1796" t="s">
        <v>2372</v>
      </c>
      <c r="D164" s="1796" t="s">
        <v>2373</v>
      </c>
      <c r="E164" s="1796" t="s">
        <v>2374</v>
      </c>
      <c r="F164" s="1796" t="s">
        <v>2375</v>
      </c>
      <c r="G164" s="1796" t="s">
        <v>2376</v>
      </c>
      <c r="H164" s="1796" t="s">
        <v>18</v>
      </c>
      <c r="I164" s="1796" t="s">
        <v>1020</v>
      </c>
    </row>
    <row r="165" spans="1:9" ht="11.25" customHeight="1">
      <c r="A165" s="1796" t="s">
        <v>2193</v>
      </c>
      <c r="B165" s="1796" t="s">
        <v>14</v>
      </c>
      <c r="C165" s="1796" t="s">
        <v>2389</v>
      </c>
      <c r="D165" s="1796" t="s">
        <v>2390</v>
      </c>
      <c r="E165" s="1796" t="s">
        <v>2391</v>
      </c>
      <c r="F165" s="1796" t="s">
        <v>2202</v>
      </c>
      <c r="G165" s="1796" t="s">
        <v>2392</v>
      </c>
      <c r="H165" s="1796" t="s">
        <v>18</v>
      </c>
      <c r="I165" s="1796" t="s">
        <v>1020</v>
      </c>
    </row>
    <row r="166" spans="1:9" ht="11.25" customHeight="1">
      <c r="A166" s="1796" t="s">
        <v>2193</v>
      </c>
      <c r="B166" s="1796" t="s">
        <v>14</v>
      </c>
      <c r="C166" s="1796" t="s">
        <v>2393</v>
      </c>
      <c r="D166" s="1796" t="s">
        <v>2394</v>
      </c>
      <c r="E166" s="1796" t="s">
        <v>2395</v>
      </c>
      <c r="F166" s="1796" t="s">
        <v>2206</v>
      </c>
      <c r="G166" s="1796" t="s">
        <v>18</v>
      </c>
      <c r="H166" s="1796" t="s">
        <v>18</v>
      </c>
      <c r="I166" s="1796" t="s">
        <v>1020</v>
      </c>
    </row>
    <row r="167" spans="1:9" ht="11.25" customHeight="1">
      <c r="A167" s="1796" t="s">
        <v>2193</v>
      </c>
      <c r="B167" s="1796" t="s">
        <v>14</v>
      </c>
      <c r="C167" s="1796" t="s">
        <v>2401</v>
      </c>
      <c r="D167" s="1796" t="s">
        <v>2402</v>
      </c>
      <c r="E167" s="1796" t="s">
        <v>2403</v>
      </c>
      <c r="F167" s="1796" t="s">
        <v>2399</v>
      </c>
      <c r="G167" s="1796" t="s">
        <v>18</v>
      </c>
      <c r="H167" s="1796" t="s">
        <v>18</v>
      </c>
      <c r="I167" s="1796" t="s">
        <v>1020</v>
      </c>
    </row>
    <row r="168" spans="1:9" ht="11.25" customHeight="1">
      <c r="A168" s="1796" t="s">
        <v>2193</v>
      </c>
      <c r="B168" s="1796" t="s">
        <v>14</v>
      </c>
      <c r="C168" s="1796" t="s">
        <v>2404</v>
      </c>
      <c r="D168" s="1796" t="s">
        <v>2405</v>
      </c>
      <c r="E168" s="1796" t="s">
        <v>2406</v>
      </c>
      <c r="F168" s="1796" t="s">
        <v>2221</v>
      </c>
      <c r="G168" s="1796" t="s">
        <v>18</v>
      </c>
      <c r="H168" s="1796" t="s">
        <v>18</v>
      </c>
      <c r="I168" s="1796" t="s">
        <v>1020</v>
      </c>
    </row>
    <row r="169" spans="1:9" ht="11.25" customHeight="1">
      <c r="A169" s="1796" t="s">
        <v>2193</v>
      </c>
      <c r="B169" s="1796" t="s">
        <v>14</v>
      </c>
      <c r="C169" s="1796" t="s">
        <v>2411</v>
      </c>
      <c r="D169" s="1796" t="s">
        <v>2412</v>
      </c>
      <c r="E169" s="1796" t="s">
        <v>2413</v>
      </c>
      <c r="F169" s="1796" t="s">
        <v>2221</v>
      </c>
      <c r="G169" s="1796" t="s">
        <v>18</v>
      </c>
      <c r="H169" s="1796" t="s">
        <v>18</v>
      </c>
      <c r="I169" s="1796" t="s">
        <v>1020</v>
      </c>
    </row>
    <row r="170" spans="1:9" ht="11.25" customHeight="1">
      <c r="A170" s="1796" t="s">
        <v>2193</v>
      </c>
      <c r="B170" s="1796" t="s">
        <v>14</v>
      </c>
      <c r="C170" s="1796" t="s">
        <v>2436</v>
      </c>
      <c r="D170" s="1796" t="s">
        <v>2437</v>
      </c>
      <c r="E170" s="1796" t="s">
        <v>2438</v>
      </c>
      <c r="F170" s="1796" t="s">
        <v>2439</v>
      </c>
      <c r="G170" s="1796" t="s">
        <v>2440</v>
      </c>
      <c r="H170" s="1796" t="s">
        <v>18</v>
      </c>
      <c r="I170" s="1796" t="s">
        <v>1020</v>
      </c>
    </row>
    <row r="171" spans="1:9" ht="11.25" customHeight="1">
      <c r="A171" s="1796" t="s">
        <v>2193</v>
      </c>
      <c r="B171" s="1796" t="s">
        <v>14</v>
      </c>
      <c r="C171" s="1796" t="s">
        <v>2445</v>
      </c>
      <c r="D171" s="1796" t="s">
        <v>2446</v>
      </c>
      <c r="E171" s="1796" t="s">
        <v>2447</v>
      </c>
      <c r="F171" s="1796" t="s">
        <v>2448</v>
      </c>
      <c r="G171" s="1796" t="s">
        <v>2449</v>
      </c>
      <c r="H171" s="1796" t="s">
        <v>18</v>
      </c>
      <c r="I171" s="1796" t="s">
        <v>1020</v>
      </c>
    </row>
    <row r="172" spans="1:9" ht="11.25" customHeight="1">
      <c r="A172" s="1796" t="s">
        <v>2193</v>
      </c>
      <c r="B172" s="1796" t="s">
        <v>14</v>
      </c>
      <c r="C172" s="1796" t="s">
        <v>2450</v>
      </c>
      <c r="D172" s="1796" t="s">
        <v>2451</v>
      </c>
      <c r="E172" s="1796" t="s">
        <v>2452</v>
      </c>
      <c r="F172" s="1796" t="s">
        <v>2453</v>
      </c>
      <c r="G172" s="1796" t="s">
        <v>2454</v>
      </c>
      <c r="H172" s="1796" t="s">
        <v>18</v>
      </c>
      <c r="I172" s="1796" t="s">
        <v>1020</v>
      </c>
    </row>
    <row r="173" spans="1:9" ht="11.25" customHeight="1">
      <c r="A173" s="1796" t="s">
        <v>2193</v>
      </c>
      <c r="B173" s="1796" t="s">
        <v>14</v>
      </c>
      <c r="C173" s="1796" t="s">
        <v>2462</v>
      </c>
      <c r="D173" s="1796" t="s">
        <v>2463</v>
      </c>
      <c r="E173" s="1796" t="s">
        <v>2464</v>
      </c>
      <c r="F173" s="1796" t="s">
        <v>2216</v>
      </c>
      <c r="G173" s="1796" t="s">
        <v>2465</v>
      </c>
      <c r="H173" s="1796" t="s">
        <v>18</v>
      </c>
      <c r="I173" s="1796" t="s">
        <v>1020</v>
      </c>
    </row>
    <row r="174" spans="1:9" ht="11.25" customHeight="1">
      <c r="A174" s="1796" t="s">
        <v>2193</v>
      </c>
      <c r="B174" s="1796" t="s">
        <v>14</v>
      </c>
      <c r="C174" s="1796" t="s">
        <v>2475</v>
      </c>
      <c r="D174" s="1796" t="s">
        <v>2476</v>
      </c>
      <c r="E174" s="1796" t="s">
        <v>2477</v>
      </c>
      <c r="F174" s="1796" t="s">
        <v>2239</v>
      </c>
      <c r="G174" s="1796" t="s">
        <v>18</v>
      </c>
      <c r="H174" s="1796" t="s">
        <v>18</v>
      </c>
      <c r="I174" s="1796" t="s">
        <v>1020</v>
      </c>
    </row>
    <row r="175" spans="1:9" ht="11.25" customHeight="1">
      <c r="A175" s="1796" t="s">
        <v>2193</v>
      </c>
      <c r="B175" s="1796" t="s">
        <v>14</v>
      </c>
      <c r="C175" s="1796" t="s">
        <v>2518</v>
      </c>
      <c r="D175" s="1796" t="s">
        <v>2519</v>
      </c>
      <c r="E175" s="1796" t="s">
        <v>2520</v>
      </c>
      <c r="F175" s="1796" t="s">
        <v>2206</v>
      </c>
      <c r="G175" s="1796" t="s">
        <v>2521</v>
      </c>
      <c r="H175" s="1796" t="s">
        <v>18</v>
      </c>
      <c r="I175" s="1796" t="s">
        <v>1020</v>
      </c>
    </row>
    <row r="176" spans="1:9" ht="11.25" customHeight="1">
      <c r="A176" s="1796" t="s">
        <v>2193</v>
      </c>
      <c r="B176" s="1796" t="s">
        <v>14</v>
      </c>
      <c r="C176" s="1796" t="s">
        <v>2522</v>
      </c>
      <c r="D176" s="1796" t="s">
        <v>2523</v>
      </c>
      <c r="E176" s="1796" t="s">
        <v>2524</v>
      </c>
      <c r="F176" s="1796" t="s">
        <v>2239</v>
      </c>
      <c r="G176" s="1796" t="s">
        <v>2525</v>
      </c>
      <c r="H176" s="1796" t="s">
        <v>18</v>
      </c>
      <c r="I176" s="1796" t="s">
        <v>1020</v>
      </c>
    </row>
    <row r="177" spans="1:9" ht="11.25" customHeight="1">
      <c r="A177" s="1796" t="s">
        <v>2193</v>
      </c>
      <c r="B177" s="1796" t="s">
        <v>14</v>
      </c>
      <c r="C177" s="1796" t="s">
        <v>2537</v>
      </c>
      <c r="D177" s="1796" t="s">
        <v>2538</v>
      </c>
      <c r="E177" s="1796" t="s">
        <v>2539</v>
      </c>
      <c r="F177" s="1796" t="s">
        <v>2540</v>
      </c>
      <c r="G177" s="1796" t="s">
        <v>18</v>
      </c>
      <c r="H177" s="1796" t="s">
        <v>18</v>
      </c>
      <c r="I177" s="1796" t="s">
        <v>1020</v>
      </c>
    </row>
    <row r="178" spans="1:9" ht="11.25" customHeight="1">
      <c r="A178" s="1796" t="s">
        <v>2193</v>
      </c>
      <c r="B178" s="1796" t="s">
        <v>14</v>
      </c>
      <c r="C178" s="1796" t="s">
        <v>2564</v>
      </c>
      <c r="D178" s="1796" t="s">
        <v>2565</v>
      </c>
      <c r="E178" s="1796" t="s">
        <v>2566</v>
      </c>
      <c r="F178" s="1796" t="s">
        <v>2239</v>
      </c>
      <c r="G178" s="1796" t="s">
        <v>2567</v>
      </c>
      <c r="H178" s="1796" t="s">
        <v>18</v>
      </c>
      <c r="I178" s="1796" t="s">
        <v>1020</v>
      </c>
    </row>
    <row r="179" spans="1:9" ht="11.25" customHeight="1">
      <c r="A179" s="1796" t="s">
        <v>2193</v>
      </c>
      <c r="B179" s="1796" t="s">
        <v>14</v>
      </c>
      <c r="C179" s="1796" t="s">
        <v>2575</v>
      </c>
      <c r="D179" s="1796" t="s">
        <v>2576</v>
      </c>
      <c r="E179" s="1796" t="s">
        <v>2577</v>
      </c>
      <c r="F179" s="1796" t="s">
        <v>2239</v>
      </c>
      <c r="G179" s="1796" t="s">
        <v>2578</v>
      </c>
      <c r="H179" s="1796" t="s">
        <v>18</v>
      </c>
      <c r="I179" s="1796" t="s">
        <v>1020</v>
      </c>
    </row>
    <row r="180" spans="1:9" ht="11.25" customHeight="1">
      <c r="A180" s="1796" t="s">
        <v>2193</v>
      </c>
      <c r="B180" s="1796" t="s">
        <v>14</v>
      </c>
      <c r="C180" s="1796" t="s">
        <v>2579</v>
      </c>
      <c r="D180" s="1796" t="s">
        <v>2576</v>
      </c>
      <c r="E180" s="1796" t="s">
        <v>2577</v>
      </c>
      <c r="F180" s="1796" t="s">
        <v>2216</v>
      </c>
      <c r="G180" s="1796" t="s">
        <v>18</v>
      </c>
      <c r="H180" s="1796" t="s">
        <v>18</v>
      </c>
      <c r="I180" s="1796" t="s">
        <v>1020</v>
      </c>
    </row>
    <row r="181" spans="1:9" ht="11.25" customHeight="1">
      <c r="A181" s="1796" t="s">
        <v>2193</v>
      </c>
      <c r="B181" s="1796" t="s">
        <v>14</v>
      </c>
      <c r="C181" s="1796" t="s">
        <v>2586</v>
      </c>
      <c r="D181" s="1796" t="s">
        <v>2587</v>
      </c>
      <c r="E181" s="1796" t="s">
        <v>2588</v>
      </c>
      <c r="F181" s="1796" t="s">
        <v>2589</v>
      </c>
      <c r="G181" s="1796" t="s">
        <v>18</v>
      </c>
      <c r="H181" s="1796" t="s">
        <v>18</v>
      </c>
      <c r="I181" s="1796" t="s">
        <v>1020</v>
      </c>
    </row>
    <row r="182" spans="1:9" ht="11.25" customHeight="1">
      <c r="A182" s="1796" t="s">
        <v>2193</v>
      </c>
      <c r="B182" s="1796" t="s">
        <v>14</v>
      </c>
      <c r="C182" s="1796" t="s">
        <v>2590</v>
      </c>
      <c r="D182" s="1796" t="s">
        <v>2591</v>
      </c>
      <c r="E182" s="1796" t="s">
        <v>2592</v>
      </c>
      <c r="F182" s="1796" t="s">
        <v>2239</v>
      </c>
      <c r="G182" s="1796" t="s">
        <v>2593</v>
      </c>
      <c r="H182" s="1796" t="s">
        <v>18</v>
      </c>
      <c r="I182" s="1796" t="s">
        <v>1020</v>
      </c>
    </row>
    <row r="183" spans="1:9" ht="11.25" customHeight="1">
      <c r="A183" s="1796" t="s">
        <v>2193</v>
      </c>
      <c r="B183" s="1796" t="s">
        <v>14</v>
      </c>
      <c r="C183" s="1796" t="s">
        <v>2594</v>
      </c>
      <c r="D183" s="1796" t="s">
        <v>2595</v>
      </c>
      <c r="E183" s="1796" t="s">
        <v>2596</v>
      </c>
      <c r="F183" s="1796" t="s">
        <v>2239</v>
      </c>
      <c r="G183" s="1796" t="s">
        <v>18</v>
      </c>
      <c r="H183" s="1796" t="s">
        <v>18</v>
      </c>
      <c r="I183" s="1796" t="s">
        <v>1020</v>
      </c>
    </row>
    <row r="184" spans="1:9" ht="11.25" customHeight="1">
      <c r="A184" s="1796" t="s">
        <v>2193</v>
      </c>
      <c r="B184" s="1796" t="s">
        <v>14</v>
      </c>
      <c r="C184" s="1796" t="s">
        <v>2597</v>
      </c>
      <c r="D184" s="1796" t="s">
        <v>2598</v>
      </c>
      <c r="E184" s="1796" t="s">
        <v>2599</v>
      </c>
      <c r="F184" s="1796" t="s">
        <v>2202</v>
      </c>
      <c r="G184" s="1796" t="s">
        <v>2600</v>
      </c>
      <c r="H184" s="1796" t="s">
        <v>18</v>
      </c>
      <c r="I184" s="1796" t="s">
        <v>1020</v>
      </c>
    </row>
    <row r="185" spans="1:9" ht="11.25" customHeight="1">
      <c r="A185" s="1796" t="s">
        <v>2193</v>
      </c>
      <c r="B185" s="1796" t="s">
        <v>14</v>
      </c>
      <c r="C185" s="1796" t="s">
        <v>2610</v>
      </c>
      <c r="D185" s="1796" t="s">
        <v>2611</v>
      </c>
      <c r="E185" s="1796" t="s">
        <v>2612</v>
      </c>
      <c r="F185" s="1796" t="s">
        <v>2239</v>
      </c>
      <c r="G185" s="1796" t="s">
        <v>2613</v>
      </c>
      <c r="H185" s="1796" t="s">
        <v>18</v>
      </c>
      <c r="I185" s="1796" t="s">
        <v>1020</v>
      </c>
    </row>
    <row r="186" spans="1:9" ht="11.25" customHeight="1">
      <c r="A186" s="1796" t="s">
        <v>2193</v>
      </c>
      <c r="B186" s="1796" t="s">
        <v>14</v>
      </c>
      <c r="C186" s="1796" t="s">
        <v>2621</v>
      </c>
      <c r="D186" s="1796" t="s">
        <v>2622</v>
      </c>
      <c r="E186" s="1796" t="s">
        <v>2623</v>
      </c>
      <c r="F186" s="1796" t="s">
        <v>2239</v>
      </c>
      <c r="G186" s="1796" t="s">
        <v>2624</v>
      </c>
      <c r="H186" s="1796" t="s">
        <v>18</v>
      </c>
      <c r="I186" s="1796" t="s">
        <v>1020</v>
      </c>
    </row>
    <row r="187" spans="1:9" ht="11.25" customHeight="1">
      <c r="A187" s="1796" t="s">
        <v>2193</v>
      </c>
      <c r="B187" s="1796" t="s">
        <v>14</v>
      </c>
      <c r="C187" s="1796" t="s">
        <v>2646</v>
      </c>
      <c r="D187" s="1796" t="s">
        <v>2647</v>
      </c>
      <c r="E187" s="1796" t="s">
        <v>2648</v>
      </c>
      <c r="F187" s="1796" t="s">
        <v>2202</v>
      </c>
      <c r="G187" s="1796" t="s">
        <v>2649</v>
      </c>
      <c r="H187" s="1796" t="s">
        <v>18</v>
      </c>
      <c r="I187" s="1796" t="s">
        <v>1020</v>
      </c>
    </row>
    <row r="188" spans="1:9" ht="11.25" customHeight="1">
      <c r="A188" s="1796" t="s">
        <v>2193</v>
      </c>
      <c r="B188" s="1796" t="s">
        <v>14</v>
      </c>
      <c r="C188" s="1796" t="s">
        <v>2654</v>
      </c>
      <c r="D188" s="1796" t="s">
        <v>2655</v>
      </c>
      <c r="E188" s="1796" t="s">
        <v>2656</v>
      </c>
      <c r="F188" s="1796" t="s">
        <v>2657</v>
      </c>
      <c r="G188" s="1796" t="s">
        <v>2658</v>
      </c>
      <c r="H188" s="1796" t="s">
        <v>18</v>
      </c>
      <c r="I188" s="1796" t="s">
        <v>1020</v>
      </c>
    </row>
    <row r="189" spans="1:9" ht="11.25" customHeight="1">
      <c r="A189" s="1796" t="s">
        <v>2193</v>
      </c>
      <c r="B189" s="1796" t="s">
        <v>14</v>
      </c>
      <c r="C189" s="1796" t="s">
        <v>2659</v>
      </c>
      <c r="D189" s="1796" t="s">
        <v>2660</v>
      </c>
      <c r="E189" s="1796" t="s">
        <v>2661</v>
      </c>
      <c r="F189" s="1796" t="s">
        <v>2261</v>
      </c>
      <c r="G189" s="1796" t="s">
        <v>18</v>
      </c>
      <c r="H189" s="1796" t="s">
        <v>18</v>
      </c>
      <c r="I189" s="1796" t="s">
        <v>1020</v>
      </c>
    </row>
    <row r="190" spans="1:9" ht="11.25" customHeight="1">
      <c r="A190" s="1796" t="s">
        <v>2193</v>
      </c>
      <c r="B190" s="1796" t="s">
        <v>14</v>
      </c>
      <c r="C190" s="1796" t="s">
        <v>2662</v>
      </c>
      <c r="D190" s="1796" t="s">
        <v>2663</v>
      </c>
      <c r="E190" s="1796" t="s">
        <v>2664</v>
      </c>
      <c r="F190" s="1796" t="s">
        <v>51</v>
      </c>
      <c r="G190" s="1796" t="s">
        <v>2665</v>
      </c>
      <c r="H190" s="1796" t="s">
        <v>18</v>
      </c>
      <c r="I190" s="1796" t="s">
        <v>1020</v>
      </c>
    </row>
    <row r="191" spans="1:9" ht="11.25" customHeight="1">
      <c r="A191" s="1796" t="s">
        <v>2193</v>
      </c>
      <c r="B191" s="1796" t="s">
        <v>14</v>
      </c>
      <c r="C191" s="1796" t="s">
        <v>2666</v>
      </c>
      <c r="D191" s="1796" t="s">
        <v>2667</v>
      </c>
      <c r="E191" s="1796" t="s">
        <v>2668</v>
      </c>
      <c r="F191" s="1796" t="s">
        <v>2206</v>
      </c>
      <c r="G191" s="1796" t="s">
        <v>18</v>
      </c>
      <c r="H191" s="1796" t="s">
        <v>18</v>
      </c>
      <c r="I191" s="1796" t="s">
        <v>1020</v>
      </c>
    </row>
    <row r="192" spans="1:9" ht="11.25" customHeight="1">
      <c r="A192" s="1796" t="s">
        <v>2193</v>
      </c>
      <c r="B192" s="1796" t="s">
        <v>14</v>
      </c>
      <c r="C192" s="1796" t="s">
        <v>2669</v>
      </c>
      <c r="D192" s="1796" t="s">
        <v>2670</v>
      </c>
      <c r="E192" s="1796" t="s">
        <v>2671</v>
      </c>
      <c r="F192" s="1796" t="s">
        <v>2657</v>
      </c>
      <c r="G192" s="1796" t="s">
        <v>18</v>
      </c>
      <c r="H192" s="1796" t="s">
        <v>18</v>
      </c>
      <c r="I192" s="1796" t="s">
        <v>1020</v>
      </c>
    </row>
    <row r="193" spans="1:9" ht="11.25" customHeight="1">
      <c r="A193" s="1796" t="s">
        <v>2193</v>
      </c>
      <c r="B193" s="1796" t="s">
        <v>14</v>
      </c>
      <c r="C193" s="1796" t="s">
        <v>2699</v>
      </c>
      <c r="D193" s="1796" t="s">
        <v>2700</v>
      </c>
      <c r="E193" s="1796" t="s">
        <v>2701</v>
      </c>
      <c r="F193" s="1796" t="s">
        <v>2221</v>
      </c>
      <c r="G193" s="1796" t="s">
        <v>18</v>
      </c>
      <c r="H193" s="1796" t="s">
        <v>18</v>
      </c>
      <c r="I193" s="1796" t="s">
        <v>1020</v>
      </c>
    </row>
    <row r="194" spans="1:9" ht="11.25" customHeight="1">
      <c r="A194" s="1796" t="s">
        <v>2193</v>
      </c>
      <c r="B194" s="1796" t="s">
        <v>14</v>
      </c>
      <c r="C194" s="1796" t="s">
        <v>2714</v>
      </c>
      <c r="D194" s="1796" t="s">
        <v>2715</v>
      </c>
      <c r="E194" s="1796" t="s">
        <v>2716</v>
      </c>
      <c r="F194" s="1796" t="s">
        <v>2717</v>
      </c>
      <c r="G194" s="1796" t="s">
        <v>2718</v>
      </c>
      <c r="H194" s="1796" t="s">
        <v>18</v>
      </c>
      <c r="I194" s="1796" t="s">
        <v>1020</v>
      </c>
    </row>
    <row r="195" spans="1:9" ht="11.25" customHeight="1">
      <c r="A195" s="1796" t="s">
        <v>2193</v>
      </c>
      <c r="B195" s="1796" t="s">
        <v>14</v>
      </c>
      <c r="C195" s="1796" t="s">
        <v>2725</v>
      </c>
      <c r="D195" s="1796" t="s">
        <v>2726</v>
      </c>
      <c r="E195" s="1796" t="s">
        <v>2243</v>
      </c>
      <c r="F195" s="1796" t="s">
        <v>2727</v>
      </c>
      <c r="G195" s="1796" t="s">
        <v>2728</v>
      </c>
      <c r="H195" s="1796" t="s">
        <v>18</v>
      </c>
      <c r="I195" s="1796" t="s">
        <v>1020</v>
      </c>
    </row>
    <row r="196" spans="1:9" ht="11.25" customHeight="1">
      <c r="A196" s="1796" t="s">
        <v>2193</v>
      </c>
      <c r="B196" s="1796" t="s">
        <v>14</v>
      </c>
      <c r="C196" s="1796" t="s">
        <v>2735</v>
      </c>
      <c r="D196" s="1796" t="s">
        <v>2736</v>
      </c>
      <c r="E196" s="1796" t="s">
        <v>2737</v>
      </c>
      <c r="F196" s="1796" t="s">
        <v>2738</v>
      </c>
      <c r="G196" s="1796" t="s">
        <v>18</v>
      </c>
      <c r="H196" s="1796" t="s">
        <v>18</v>
      </c>
      <c r="I196" s="1796" t="s">
        <v>1020</v>
      </c>
    </row>
    <row r="197" spans="1:9" ht="11.25" customHeight="1">
      <c r="A197" s="1796" t="s">
        <v>2193</v>
      </c>
      <c r="B197" s="1796" t="s">
        <v>14</v>
      </c>
      <c r="C197" s="1796" t="s">
        <v>2739</v>
      </c>
      <c r="D197" s="1796" t="s">
        <v>2740</v>
      </c>
      <c r="E197" s="1796" t="s">
        <v>2741</v>
      </c>
      <c r="F197" s="1796" t="s">
        <v>2202</v>
      </c>
      <c r="G197" s="1796" t="s">
        <v>18</v>
      </c>
      <c r="H197" s="1796" t="s">
        <v>18</v>
      </c>
      <c r="I197" s="1796" t="s">
        <v>1020</v>
      </c>
    </row>
    <row r="198" spans="1:9" ht="11.25" customHeight="1">
      <c r="A198" s="1796" t="s">
        <v>2193</v>
      </c>
      <c r="B198" s="1796" t="s">
        <v>14</v>
      </c>
      <c r="C198" s="1796" t="s">
        <v>2742</v>
      </c>
      <c r="D198" s="1796" t="s">
        <v>2743</v>
      </c>
      <c r="E198" s="1796" t="s">
        <v>2744</v>
      </c>
      <c r="F198" s="1796" t="s">
        <v>2439</v>
      </c>
      <c r="G198" s="1796" t="s">
        <v>2745</v>
      </c>
      <c r="H198" s="1796" t="s">
        <v>18</v>
      </c>
      <c r="I198" s="1796" t="s">
        <v>1020</v>
      </c>
    </row>
    <row r="199" spans="1:9" ht="11.25" customHeight="1">
      <c r="A199" s="1796" t="s">
        <v>2193</v>
      </c>
      <c r="B199" s="1796" t="s">
        <v>14</v>
      </c>
      <c r="C199" s="1796" t="s">
        <v>2194</v>
      </c>
      <c r="D199" s="1796" t="s">
        <v>2195</v>
      </c>
      <c r="E199" s="1796" t="s">
        <v>2196</v>
      </c>
      <c r="F199" s="1796" t="s">
        <v>2197</v>
      </c>
      <c r="G199" s="1796" t="s">
        <v>2198</v>
      </c>
      <c r="H199" s="1796" t="s">
        <v>18</v>
      </c>
      <c r="I199" s="1796" t="s">
        <v>997</v>
      </c>
    </row>
    <row r="200" spans="1:9" ht="11.25" customHeight="1">
      <c r="A200" s="1796" t="s">
        <v>2193</v>
      </c>
      <c r="B200" s="1796" t="s">
        <v>14</v>
      </c>
      <c r="C200" s="1796" t="s">
        <v>2213</v>
      </c>
      <c r="D200" s="1796" t="s">
        <v>2214</v>
      </c>
      <c r="E200" s="1796" t="s">
        <v>2215</v>
      </c>
      <c r="F200" s="1796" t="s">
        <v>2216</v>
      </c>
      <c r="G200" s="1796" t="s">
        <v>2217</v>
      </c>
      <c r="H200" s="1796" t="s">
        <v>18</v>
      </c>
      <c r="I200" s="1796" t="s">
        <v>997</v>
      </c>
    </row>
    <row r="201" spans="1:9" ht="11.25" customHeight="1">
      <c r="A201" s="1796" t="s">
        <v>2193</v>
      </c>
      <c r="B201" s="1796" t="s">
        <v>14</v>
      </c>
      <c r="C201" s="1796" t="s">
        <v>2756</v>
      </c>
      <c r="D201" s="1796" t="s">
        <v>2757</v>
      </c>
      <c r="E201" s="1796" t="s">
        <v>2758</v>
      </c>
      <c r="F201" s="1796" t="s">
        <v>2239</v>
      </c>
      <c r="G201" s="1796" t="s">
        <v>2759</v>
      </c>
      <c r="H201" s="1796" t="s">
        <v>18</v>
      </c>
      <c r="I201" s="1796" t="s">
        <v>997</v>
      </c>
    </row>
    <row r="202" spans="1:9" ht="11.25" customHeight="1">
      <c r="A202" s="1796" t="s">
        <v>2193</v>
      </c>
      <c r="B202" s="1796" t="s">
        <v>14</v>
      </c>
      <c r="C202" s="1796" t="s">
        <v>2218</v>
      </c>
      <c r="D202" s="1796" t="s">
        <v>2219</v>
      </c>
      <c r="E202" s="1796" t="s">
        <v>2220</v>
      </c>
      <c r="F202" s="1796" t="s">
        <v>2221</v>
      </c>
      <c r="G202" s="1796" t="s">
        <v>2222</v>
      </c>
      <c r="H202" s="1796" t="s">
        <v>18</v>
      </c>
      <c r="I202" s="1796" t="s">
        <v>997</v>
      </c>
    </row>
    <row r="203" spans="1:9" ht="11.25" customHeight="1">
      <c r="A203" s="1796" t="s">
        <v>2193</v>
      </c>
      <c r="B203" s="1796" t="s">
        <v>14</v>
      </c>
      <c r="C203" s="1796" t="s">
        <v>2228</v>
      </c>
      <c r="D203" s="1796" t="s">
        <v>2229</v>
      </c>
      <c r="E203" s="1796" t="s">
        <v>2230</v>
      </c>
      <c r="F203" s="1796" t="s">
        <v>2231</v>
      </c>
      <c r="G203" s="1796" t="s">
        <v>18</v>
      </c>
      <c r="H203" s="1796" t="s">
        <v>18</v>
      </c>
      <c r="I203" s="1796" t="s">
        <v>997</v>
      </c>
    </row>
    <row r="204" spans="1:9" ht="11.25" customHeight="1">
      <c r="A204" s="1796" t="s">
        <v>2193</v>
      </c>
      <c r="B204" s="1796" t="s">
        <v>14</v>
      </c>
      <c r="C204" s="1796" t="s">
        <v>2236</v>
      </c>
      <c r="D204" s="1796" t="s">
        <v>2237</v>
      </c>
      <c r="E204" s="1796" t="s">
        <v>2238</v>
      </c>
      <c r="F204" s="1796" t="s">
        <v>2239</v>
      </c>
      <c r="G204" s="1796" t="s">
        <v>2240</v>
      </c>
      <c r="H204" s="1796" t="s">
        <v>18</v>
      </c>
      <c r="I204" s="1796" t="s">
        <v>997</v>
      </c>
    </row>
    <row r="205" spans="1:9" ht="11.25" customHeight="1">
      <c r="A205" s="1796" t="s">
        <v>2193</v>
      </c>
      <c r="B205" s="1796" t="s">
        <v>14</v>
      </c>
      <c r="C205" s="1796" t="s">
        <v>18</v>
      </c>
      <c r="D205" s="1796" t="s">
        <v>2246</v>
      </c>
      <c r="E205" s="1796" t="s">
        <v>2247</v>
      </c>
      <c r="F205" s="1796" t="s">
        <v>2239</v>
      </c>
      <c r="G205" s="1796" t="s">
        <v>18</v>
      </c>
      <c r="H205" s="1796" t="s">
        <v>18</v>
      </c>
      <c r="I205" s="1796" t="s">
        <v>997</v>
      </c>
    </row>
    <row r="206" spans="1:9" ht="11.25" customHeight="1">
      <c r="A206" s="1796" t="s">
        <v>2193</v>
      </c>
      <c r="B206" s="1796" t="s">
        <v>14</v>
      </c>
      <c r="C206" s="1796" t="s">
        <v>2760</v>
      </c>
      <c r="D206" s="1796" t="s">
        <v>2761</v>
      </c>
      <c r="E206" s="1796" t="s">
        <v>2762</v>
      </c>
      <c r="F206" s="1796" t="s">
        <v>2763</v>
      </c>
      <c r="G206" s="1796" t="s">
        <v>2764</v>
      </c>
      <c r="H206" s="1796" t="s">
        <v>18</v>
      </c>
      <c r="I206" s="1796" t="s">
        <v>997</v>
      </c>
    </row>
    <row r="207" spans="1:9" ht="11.25" customHeight="1">
      <c r="A207" s="1796" t="s">
        <v>2193</v>
      </c>
      <c r="B207" s="1796" t="s">
        <v>14</v>
      </c>
      <c r="C207" s="1796" t="s">
        <v>2258</v>
      </c>
      <c r="D207" s="1796" t="s">
        <v>2259</v>
      </c>
      <c r="E207" s="1796" t="s">
        <v>2260</v>
      </c>
      <c r="F207" s="1796" t="s">
        <v>2261</v>
      </c>
      <c r="G207" s="1796" t="s">
        <v>18</v>
      </c>
      <c r="H207" s="1796" t="s">
        <v>18</v>
      </c>
      <c r="I207" s="1796" t="s">
        <v>997</v>
      </c>
    </row>
    <row r="208" spans="1:9" ht="11.25" customHeight="1">
      <c r="A208" s="1796" t="s">
        <v>2193</v>
      </c>
      <c r="B208" s="1796" t="s">
        <v>14</v>
      </c>
      <c r="C208" s="1796" t="s">
        <v>2266</v>
      </c>
      <c r="D208" s="1796" t="s">
        <v>2267</v>
      </c>
      <c r="E208" s="1796" t="s">
        <v>2268</v>
      </c>
      <c r="F208" s="1796" t="s">
        <v>433</v>
      </c>
      <c r="G208" s="1796" t="s">
        <v>2269</v>
      </c>
      <c r="H208" s="1796" t="s">
        <v>18</v>
      </c>
      <c r="I208" s="1796" t="s">
        <v>997</v>
      </c>
    </row>
    <row r="209" spans="1:9" ht="11.25" customHeight="1">
      <c r="A209" s="1796" t="s">
        <v>2193</v>
      </c>
      <c r="B209" s="1796" t="s">
        <v>14</v>
      </c>
      <c r="C209" s="1796" t="s">
        <v>2765</v>
      </c>
      <c r="D209" s="1796" t="s">
        <v>2766</v>
      </c>
      <c r="E209" s="1796" t="s">
        <v>2767</v>
      </c>
      <c r="F209" s="1796" t="s">
        <v>433</v>
      </c>
      <c r="G209" s="1796" t="s">
        <v>18</v>
      </c>
      <c r="H209" s="1796" t="s">
        <v>18</v>
      </c>
      <c r="I209" s="1796" t="s">
        <v>997</v>
      </c>
    </row>
    <row r="210" spans="1:9" ht="11.25" customHeight="1">
      <c r="A210" s="1796" t="s">
        <v>2193</v>
      </c>
      <c r="B210" s="1796" t="s">
        <v>14</v>
      </c>
      <c r="C210" s="1796" t="s">
        <v>2270</v>
      </c>
      <c r="D210" s="1796" t="s">
        <v>2271</v>
      </c>
      <c r="E210" s="1796" t="s">
        <v>2272</v>
      </c>
      <c r="F210" s="1796" t="s">
        <v>433</v>
      </c>
      <c r="G210" s="1796" t="s">
        <v>2273</v>
      </c>
      <c r="H210" s="1796" t="s">
        <v>18</v>
      </c>
      <c r="I210" s="1796" t="s">
        <v>997</v>
      </c>
    </row>
    <row r="211" spans="1:9" ht="11.25" customHeight="1">
      <c r="A211" s="1796" t="s">
        <v>2193</v>
      </c>
      <c r="B211" s="1796" t="s">
        <v>14</v>
      </c>
      <c r="C211" s="1796" t="s">
        <v>2274</v>
      </c>
      <c r="D211" s="1796" t="s">
        <v>2275</v>
      </c>
      <c r="E211" s="1796" t="s">
        <v>2276</v>
      </c>
      <c r="F211" s="1796" t="s">
        <v>433</v>
      </c>
      <c r="G211" s="1796" t="s">
        <v>2277</v>
      </c>
      <c r="H211" s="1796" t="s">
        <v>18</v>
      </c>
      <c r="I211" s="1796" t="s">
        <v>997</v>
      </c>
    </row>
    <row r="212" spans="1:9" ht="11.25" customHeight="1">
      <c r="A212" s="1796" t="s">
        <v>2193</v>
      </c>
      <c r="B212" s="1796" t="s">
        <v>14</v>
      </c>
      <c r="C212" s="1796" t="s">
        <v>2768</v>
      </c>
      <c r="D212" s="1796" t="s">
        <v>2769</v>
      </c>
      <c r="E212" s="1796" t="s">
        <v>2770</v>
      </c>
      <c r="F212" s="1796" t="s">
        <v>433</v>
      </c>
      <c r="G212" s="1796" t="s">
        <v>18</v>
      </c>
      <c r="H212" s="1796" t="s">
        <v>18</v>
      </c>
      <c r="I212" s="1796" t="s">
        <v>997</v>
      </c>
    </row>
    <row r="213" spans="1:9" ht="11.25" customHeight="1">
      <c r="A213" s="1796" t="s">
        <v>2193</v>
      </c>
      <c r="B213" s="1796" t="s">
        <v>14</v>
      </c>
      <c r="C213" s="1796" t="s">
        <v>2771</v>
      </c>
      <c r="D213" s="1796" t="s">
        <v>2772</v>
      </c>
      <c r="E213" s="1796" t="s">
        <v>2773</v>
      </c>
      <c r="F213" s="1796" t="s">
        <v>2206</v>
      </c>
      <c r="G213" s="1796" t="s">
        <v>18</v>
      </c>
      <c r="H213" s="1796" t="s">
        <v>18</v>
      </c>
      <c r="I213" s="1796" t="s">
        <v>997</v>
      </c>
    </row>
    <row r="214" spans="1:9" ht="11.25" customHeight="1">
      <c r="A214" s="1796" t="s">
        <v>2193</v>
      </c>
      <c r="B214" s="1796" t="s">
        <v>14</v>
      </c>
      <c r="C214" s="1796" t="s">
        <v>2282</v>
      </c>
      <c r="D214" s="1796" t="s">
        <v>2283</v>
      </c>
      <c r="E214" s="1796" t="s">
        <v>2284</v>
      </c>
      <c r="F214" s="1796" t="s">
        <v>2221</v>
      </c>
      <c r="G214" s="1796" t="s">
        <v>2285</v>
      </c>
      <c r="H214" s="1796" t="s">
        <v>18</v>
      </c>
      <c r="I214" s="1796" t="s">
        <v>997</v>
      </c>
    </row>
    <row r="215" spans="1:9" ht="11.25" customHeight="1">
      <c r="A215" s="1796" t="s">
        <v>2193</v>
      </c>
      <c r="B215" s="1796" t="s">
        <v>14</v>
      </c>
      <c r="C215" s="1796" t="s">
        <v>2286</v>
      </c>
      <c r="D215" s="1796" t="s">
        <v>2287</v>
      </c>
      <c r="E215" s="1796" t="s">
        <v>2288</v>
      </c>
      <c r="F215" s="1796" t="s">
        <v>2221</v>
      </c>
      <c r="G215" s="1796" t="s">
        <v>18</v>
      </c>
      <c r="H215" s="1796" t="s">
        <v>18</v>
      </c>
      <c r="I215" s="1796" t="s">
        <v>997</v>
      </c>
    </row>
    <row r="216" spans="1:9" ht="11.25" customHeight="1">
      <c r="A216" s="1796" t="s">
        <v>2193</v>
      </c>
      <c r="B216" s="1796" t="s">
        <v>14</v>
      </c>
      <c r="C216" s="1796" t="s">
        <v>2289</v>
      </c>
      <c r="D216" s="1796" t="s">
        <v>2290</v>
      </c>
      <c r="E216" s="1796" t="s">
        <v>2291</v>
      </c>
      <c r="F216" s="1796" t="s">
        <v>2239</v>
      </c>
      <c r="G216" s="1796" t="s">
        <v>18</v>
      </c>
      <c r="H216" s="1796" t="s">
        <v>18</v>
      </c>
      <c r="I216" s="1796" t="s">
        <v>997</v>
      </c>
    </row>
    <row r="217" spans="1:9" ht="11.25" customHeight="1">
      <c r="A217" s="1796" t="s">
        <v>2193</v>
      </c>
      <c r="B217" s="1796" t="s">
        <v>14</v>
      </c>
      <c r="C217" s="1796" t="s">
        <v>2774</v>
      </c>
      <c r="D217" s="1796" t="s">
        <v>2775</v>
      </c>
      <c r="E217" s="1796" t="s">
        <v>2776</v>
      </c>
      <c r="F217" s="1796" t="s">
        <v>2358</v>
      </c>
      <c r="G217" s="1796" t="s">
        <v>2777</v>
      </c>
      <c r="H217" s="1796" t="s">
        <v>18</v>
      </c>
      <c r="I217" s="1796" t="s">
        <v>997</v>
      </c>
    </row>
    <row r="218" spans="1:9" ht="11.25" customHeight="1">
      <c r="A218" s="1796" t="s">
        <v>2193</v>
      </c>
      <c r="B218" s="1796" t="s">
        <v>14</v>
      </c>
      <c r="C218" s="1796" t="s">
        <v>2778</v>
      </c>
      <c r="D218" s="1796" t="s">
        <v>2779</v>
      </c>
      <c r="E218" s="1796" t="s">
        <v>2780</v>
      </c>
      <c r="F218" s="1796" t="s">
        <v>2358</v>
      </c>
      <c r="G218" s="1796" t="s">
        <v>2781</v>
      </c>
      <c r="H218" s="1796" t="s">
        <v>18</v>
      </c>
      <c r="I218" s="1796" t="s">
        <v>997</v>
      </c>
    </row>
    <row r="219" spans="1:9" ht="11.25" customHeight="1">
      <c r="A219" s="1796" t="s">
        <v>2193</v>
      </c>
      <c r="B219" s="1796" t="s">
        <v>14</v>
      </c>
      <c r="C219" s="1796" t="s">
        <v>2782</v>
      </c>
      <c r="D219" s="1796" t="s">
        <v>2783</v>
      </c>
      <c r="E219" s="1796" t="s">
        <v>2784</v>
      </c>
      <c r="F219" s="1796" t="s">
        <v>2308</v>
      </c>
      <c r="G219" s="1796" t="s">
        <v>2785</v>
      </c>
      <c r="H219" s="1796" t="s">
        <v>18</v>
      </c>
      <c r="I219" s="1796" t="s">
        <v>997</v>
      </c>
    </row>
    <row r="220" spans="1:9" ht="11.25" customHeight="1">
      <c r="A220" s="1796" t="s">
        <v>2193</v>
      </c>
      <c r="B220" s="1796" t="s">
        <v>14</v>
      </c>
      <c r="C220" s="1796" t="s">
        <v>2300</v>
      </c>
      <c r="D220" s="1796" t="s">
        <v>2301</v>
      </c>
      <c r="E220" s="1796" t="s">
        <v>2302</v>
      </c>
      <c r="F220" s="1796" t="s">
        <v>2303</v>
      </c>
      <c r="G220" s="1796" t="s">
        <v>2304</v>
      </c>
      <c r="H220" s="1796" t="s">
        <v>18</v>
      </c>
      <c r="I220" s="1796" t="s">
        <v>997</v>
      </c>
    </row>
    <row r="221" spans="1:9" ht="11.25" customHeight="1">
      <c r="A221" s="1796" t="s">
        <v>2193</v>
      </c>
      <c r="B221" s="1796" t="s">
        <v>14</v>
      </c>
      <c r="C221" s="1796" t="s">
        <v>2305</v>
      </c>
      <c r="D221" s="1796" t="s">
        <v>2306</v>
      </c>
      <c r="E221" s="1796" t="s">
        <v>2307</v>
      </c>
      <c r="F221" s="1796" t="s">
        <v>2308</v>
      </c>
      <c r="G221" s="1796" t="s">
        <v>2309</v>
      </c>
      <c r="H221" s="1796" t="s">
        <v>18</v>
      </c>
      <c r="I221" s="1796" t="s">
        <v>997</v>
      </c>
    </row>
    <row r="222" spans="1:9" ht="11.25" customHeight="1">
      <c r="A222" s="1796" t="s">
        <v>2193</v>
      </c>
      <c r="B222" s="1796" t="s">
        <v>14</v>
      </c>
      <c r="C222" s="1796" t="s">
        <v>2323</v>
      </c>
      <c r="D222" s="1796" t="s">
        <v>2324</v>
      </c>
      <c r="E222" s="1796" t="s">
        <v>2325</v>
      </c>
      <c r="F222" s="1796" t="s">
        <v>2202</v>
      </c>
      <c r="G222" s="1796" t="s">
        <v>2326</v>
      </c>
      <c r="H222" s="1796" t="s">
        <v>18</v>
      </c>
      <c r="I222" s="1796" t="s">
        <v>997</v>
      </c>
    </row>
    <row r="223" spans="1:9" ht="11.25" customHeight="1">
      <c r="A223" s="1796" t="s">
        <v>2193</v>
      </c>
      <c r="B223" s="1796" t="s">
        <v>14</v>
      </c>
      <c r="C223" s="1796" t="s">
        <v>2327</v>
      </c>
      <c r="D223" s="1796" t="s">
        <v>2328</v>
      </c>
      <c r="E223" s="1796" t="s">
        <v>2329</v>
      </c>
      <c r="F223" s="1796" t="s">
        <v>2330</v>
      </c>
      <c r="G223" s="1796" t="s">
        <v>2331</v>
      </c>
      <c r="H223" s="1796" t="s">
        <v>18</v>
      </c>
      <c r="I223" s="1796" t="s">
        <v>997</v>
      </c>
    </row>
    <row r="224" spans="1:9" ht="11.25" customHeight="1">
      <c r="A224" s="1796" t="s">
        <v>2193</v>
      </c>
      <c r="B224" s="1796" t="s">
        <v>14</v>
      </c>
      <c r="C224" s="1796" t="s">
        <v>2332</v>
      </c>
      <c r="D224" s="1796" t="s">
        <v>2333</v>
      </c>
      <c r="E224" s="1796" t="s">
        <v>2334</v>
      </c>
      <c r="F224" s="1796" t="s">
        <v>2335</v>
      </c>
      <c r="G224" s="1796" t="s">
        <v>2336</v>
      </c>
      <c r="H224" s="1796" t="s">
        <v>18</v>
      </c>
      <c r="I224" s="1796" t="s">
        <v>997</v>
      </c>
    </row>
    <row r="225" spans="1:9" ht="11.25" customHeight="1">
      <c r="A225" s="1796" t="s">
        <v>2193</v>
      </c>
      <c r="B225" s="1796" t="s">
        <v>14</v>
      </c>
      <c r="C225" s="1796" t="s">
        <v>2786</v>
      </c>
      <c r="D225" s="1796" t="s">
        <v>2787</v>
      </c>
      <c r="E225" s="1796" t="s">
        <v>2788</v>
      </c>
      <c r="F225" s="1796" t="s">
        <v>51</v>
      </c>
      <c r="G225" s="1796" t="s">
        <v>2789</v>
      </c>
      <c r="H225" s="1796" t="s">
        <v>18</v>
      </c>
      <c r="I225" s="1796" t="s">
        <v>997</v>
      </c>
    </row>
    <row r="226" spans="1:9" ht="11.25" customHeight="1">
      <c r="A226" s="1796" t="s">
        <v>2193</v>
      </c>
      <c r="B226" s="1796" t="s">
        <v>14</v>
      </c>
      <c r="C226" s="1796" t="s">
        <v>2337</v>
      </c>
      <c r="D226" s="1796" t="s">
        <v>2338</v>
      </c>
      <c r="E226" s="1796" t="s">
        <v>2339</v>
      </c>
      <c r="F226" s="1796" t="s">
        <v>2281</v>
      </c>
      <c r="G226" s="1796" t="s">
        <v>2340</v>
      </c>
      <c r="H226" s="1796" t="s">
        <v>18</v>
      </c>
      <c r="I226" s="1796" t="s">
        <v>997</v>
      </c>
    </row>
    <row r="227" spans="1:9" ht="11.25" customHeight="1">
      <c r="A227" s="1796" t="s">
        <v>2193</v>
      </c>
      <c r="B227" s="1796" t="s">
        <v>14</v>
      </c>
      <c r="C227" s="1796" t="s">
        <v>2346</v>
      </c>
      <c r="D227" s="1796" t="s">
        <v>2347</v>
      </c>
      <c r="E227" s="1796" t="s">
        <v>2348</v>
      </c>
      <c r="F227" s="1796" t="s">
        <v>2349</v>
      </c>
      <c r="G227" s="1796" t="s">
        <v>2350</v>
      </c>
      <c r="H227" s="1796" t="s">
        <v>18</v>
      </c>
      <c r="I227" s="1796" t="s">
        <v>997</v>
      </c>
    </row>
    <row r="228" spans="1:9" ht="11.25" customHeight="1">
      <c r="A228" s="1796" t="s">
        <v>2193</v>
      </c>
      <c r="B228" s="1796" t="s">
        <v>14</v>
      </c>
      <c r="C228" s="1796" t="s">
        <v>2790</v>
      </c>
      <c r="D228" s="1796" t="s">
        <v>2791</v>
      </c>
      <c r="E228" s="1796" t="s">
        <v>2792</v>
      </c>
      <c r="F228" s="1796" t="s">
        <v>2317</v>
      </c>
      <c r="G228" s="1796" t="s">
        <v>2793</v>
      </c>
      <c r="H228" s="1796" t="s">
        <v>18</v>
      </c>
      <c r="I228" s="1796" t="s">
        <v>997</v>
      </c>
    </row>
    <row r="229" spans="1:9" ht="11.25" customHeight="1">
      <c r="A229" s="1796" t="s">
        <v>2193</v>
      </c>
      <c r="B229" s="1796" t="s">
        <v>14</v>
      </c>
      <c r="C229" s="1796" t="s">
        <v>2372</v>
      </c>
      <c r="D229" s="1796" t="s">
        <v>2373</v>
      </c>
      <c r="E229" s="1796" t="s">
        <v>2374</v>
      </c>
      <c r="F229" s="1796" t="s">
        <v>2375</v>
      </c>
      <c r="G229" s="1796" t="s">
        <v>2376</v>
      </c>
      <c r="H229" s="1796" t="s">
        <v>18</v>
      </c>
      <c r="I229" s="1796" t="s">
        <v>997</v>
      </c>
    </row>
    <row r="230" spans="1:9" ht="11.25" customHeight="1">
      <c r="A230" s="1796" t="s">
        <v>2193</v>
      </c>
      <c r="B230" s="1796" t="s">
        <v>14</v>
      </c>
      <c r="C230" s="1796" t="s">
        <v>2393</v>
      </c>
      <c r="D230" s="1796" t="s">
        <v>2394</v>
      </c>
      <c r="E230" s="1796" t="s">
        <v>2395</v>
      </c>
      <c r="F230" s="1796" t="s">
        <v>2206</v>
      </c>
      <c r="G230" s="1796" t="s">
        <v>18</v>
      </c>
      <c r="H230" s="1796" t="s">
        <v>18</v>
      </c>
      <c r="I230" s="1796" t="s">
        <v>997</v>
      </c>
    </row>
    <row r="231" spans="1:9" ht="11.25" customHeight="1">
      <c r="A231" s="1796" t="s">
        <v>2193</v>
      </c>
      <c r="B231" s="1796" t="s">
        <v>14</v>
      </c>
      <c r="C231" s="1796" t="s">
        <v>2396</v>
      </c>
      <c r="D231" s="1796" t="s">
        <v>2397</v>
      </c>
      <c r="E231" s="1796" t="s">
        <v>2398</v>
      </c>
      <c r="F231" s="1796" t="s">
        <v>2399</v>
      </c>
      <c r="G231" s="1796" t="s">
        <v>18</v>
      </c>
      <c r="H231" s="1796" t="s">
        <v>2400</v>
      </c>
      <c r="I231" s="1796" t="s">
        <v>997</v>
      </c>
    </row>
    <row r="232" spans="1:9" ht="11.25" customHeight="1">
      <c r="A232" s="1796" t="s">
        <v>2193</v>
      </c>
      <c r="B232" s="1796" t="s">
        <v>14</v>
      </c>
      <c r="C232" s="1796" t="s">
        <v>2401</v>
      </c>
      <c r="D232" s="1796" t="s">
        <v>2402</v>
      </c>
      <c r="E232" s="1796" t="s">
        <v>2403</v>
      </c>
      <c r="F232" s="1796" t="s">
        <v>2399</v>
      </c>
      <c r="G232" s="1796" t="s">
        <v>18</v>
      </c>
      <c r="H232" s="1796" t="s">
        <v>18</v>
      </c>
      <c r="I232" s="1796" t="s">
        <v>997</v>
      </c>
    </row>
    <row r="233" spans="1:9" ht="11.25" customHeight="1">
      <c r="A233" s="1796" t="s">
        <v>2193</v>
      </c>
      <c r="B233" s="1796" t="s">
        <v>14</v>
      </c>
      <c r="C233" s="1796" t="s">
        <v>2404</v>
      </c>
      <c r="D233" s="1796" t="s">
        <v>2405</v>
      </c>
      <c r="E233" s="1796" t="s">
        <v>2406</v>
      </c>
      <c r="F233" s="1796" t="s">
        <v>2221</v>
      </c>
      <c r="G233" s="1796" t="s">
        <v>18</v>
      </c>
      <c r="H233" s="1796" t="s">
        <v>18</v>
      </c>
      <c r="I233" s="1796" t="s">
        <v>997</v>
      </c>
    </row>
    <row r="234" spans="1:9" ht="11.25" customHeight="1">
      <c r="A234" s="1796" t="s">
        <v>2193</v>
      </c>
      <c r="B234" s="1796" t="s">
        <v>14</v>
      </c>
      <c r="C234" s="1796" t="s">
        <v>2411</v>
      </c>
      <c r="D234" s="1796" t="s">
        <v>2412</v>
      </c>
      <c r="E234" s="1796" t="s">
        <v>2413</v>
      </c>
      <c r="F234" s="1796" t="s">
        <v>2221</v>
      </c>
      <c r="G234" s="1796" t="s">
        <v>18</v>
      </c>
      <c r="H234" s="1796" t="s">
        <v>18</v>
      </c>
      <c r="I234" s="1796" t="s">
        <v>997</v>
      </c>
    </row>
    <row r="235" spans="1:9" ht="11.25" customHeight="1">
      <c r="A235" s="1796" t="s">
        <v>2193</v>
      </c>
      <c r="B235" s="1796" t="s">
        <v>14</v>
      </c>
      <c r="C235" s="1796" t="s">
        <v>2414</v>
      </c>
      <c r="D235" s="1796" t="s">
        <v>2415</v>
      </c>
      <c r="E235" s="1796" t="s">
        <v>2416</v>
      </c>
      <c r="F235" s="1796" t="s">
        <v>2399</v>
      </c>
      <c r="G235" s="1796" t="s">
        <v>18</v>
      </c>
      <c r="H235" s="1796" t="s">
        <v>18</v>
      </c>
      <c r="I235" s="1796" t="s">
        <v>997</v>
      </c>
    </row>
    <row r="236" spans="1:9" ht="11.25" customHeight="1">
      <c r="A236" s="1796" t="s">
        <v>2193</v>
      </c>
      <c r="B236" s="1796" t="s">
        <v>14</v>
      </c>
      <c r="C236" s="1796" t="s">
        <v>2794</v>
      </c>
      <c r="D236" s="1796" t="s">
        <v>2795</v>
      </c>
      <c r="E236" s="1796" t="s">
        <v>2796</v>
      </c>
      <c r="F236" s="1796" t="s">
        <v>2206</v>
      </c>
      <c r="G236" s="1796" t="s">
        <v>2797</v>
      </c>
      <c r="H236" s="1796" t="s">
        <v>18</v>
      </c>
      <c r="I236" s="1796" t="s">
        <v>997</v>
      </c>
    </row>
    <row r="237" spans="1:9" ht="11.25" customHeight="1">
      <c r="A237" s="1796" t="s">
        <v>2193</v>
      </c>
      <c r="B237" s="1796" t="s">
        <v>14</v>
      </c>
      <c r="C237" s="1796" t="s">
        <v>2798</v>
      </c>
      <c r="D237" s="1796" t="s">
        <v>2799</v>
      </c>
      <c r="E237" s="1796" t="s">
        <v>2800</v>
      </c>
      <c r="F237" s="1796" t="s">
        <v>2317</v>
      </c>
      <c r="G237" s="1796" t="s">
        <v>18</v>
      </c>
      <c r="H237" s="1796" t="s">
        <v>18</v>
      </c>
      <c r="I237" s="1796" t="s">
        <v>997</v>
      </c>
    </row>
    <row r="238" spans="1:9" ht="11.25" customHeight="1">
      <c r="A238" s="1796" t="s">
        <v>2193</v>
      </c>
      <c r="B238" s="1796" t="s">
        <v>14</v>
      </c>
      <c r="C238" s="1796" t="s">
        <v>2801</v>
      </c>
      <c r="D238" s="1796" t="s">
        <v>2802</v>
      </c>
      <c r="E238" s="1796" t="s">
        <v>2803</v>
      </c>
      <c r="F238" s="1796" t="s">
        <v>2453</v>
      </c>
      <c r="G238" s="1796" t="s">
        <v>18</v>
      </c>
      <c r="H238" s="1796" t="s">
        <v>18</v>
      </c>
      <c r="I238" s="1796" t="s">
        <v>997</v>
      </c>
    </row>
    <row r="239" spans="1:9" ht="11.25" customHeight="1">
      <c r="A239" s="1796" t="s">
        <v>2193</v>
      </c>
      <c r="B239" s="1796" t="s">
        <v>14</v>
      </c>
      <c r="C239" s="1796" t="s">
        <v>2422</v>
      </c>
      <c r="D239" s="1796" t="s">
        <v>2423</v>
      </c>
      <c r="E239" s="1796" t="s">
        <v>2424</v>
      </c>
      <c r="F239" s="1796" t="s">
        <v>2425</v>
      </c>
      <c r="G239" s="1796" t="s">
        <v>18</v>
      </c>
      <c r="H239" s="1796" t="s">
        <v>18</v>
      </c>
      <c r="I239" s="1796" t="s">
        <v>997</v>
      </c>
    </row>
    <row r="240" spans="1:9" ht="11.25" customHeight="1">
      <c r="A240" s="1796" t="s">
        <v>2193</v>
      </c>
      <c r="B240" s="1796" t="s">
        <v>14</v>
      </c>
      <c r="C240" s="1796" t="s">
        <v>2426</v>
      </c>
      <c r="D240" s="1796" t="s">
        <v>2427</v>
      </c>
      <c r="E240" s="1796" t="s">
        <v>2428</v>
      </c>
      <c r="F240" s="1796" t="s">
        <v>2211</v>
      </c>
      <c r="G240" s="1796" t="s">
        <v>2429</v>
      </c>
      <c r="H240" s="1796" t="s">
        <v>18</v>
      </c>
      <c r="I240" s="1796" t="s">
        <v>997</v>
      </c>
    </row>
    <row r="241" spans="1:9" ht="11.25" customHeight="1">
      <c r="A241" s="1796" t="s">
        <v>2193</v>
      </c>
      <c r="B241" s="1796" t="s">
        <v>14</v>
      </c>
      <c r="C241" s="1796" t="s">
        <v>2430</v>
      </c>
      <c r="D241" s="1796" t="s">
        <v>2431</v>
      </c>
      <c r="E241" s="1796" t="s">
        <v>2432</v>
      </c>
      <c r="F241" s="1796" t="s">
        <v>2330</v>
      </c>
      <c r="G241" s="1796" t="s">
        <v>18</v>
      </c>
      <c r="H241" s="1796" t="s">
        <v>18</v>
      </c>
      <c r="I241" s="1796" t="s">
        <v>997</v>
      </c>
    </row>
    <row r="242" spans="1:9" ht="11.25" customHeight="1">
      <c r="A242" s="1796" t="s">
        <v>2193</v>
      </c>
      <c r="B242" s="1796" t="s">
        <v>14</v>
      </c>
      <c r="C242" s="1796" t="s">
        <v>2804</v>
      </c>
      <c r="D242" s="1796" t="s">
        <v>2805</v>
      </c>
      <c r="E242" s="1796" t="s">
        <v>2806</v>
      </c>
      <c r="F242" s="1796" t="s">
        <v>2399</v>
      </c>
      <c r="G242" s="1796" t="s">
        <v>2807</v>
      </c>
      <c r="H242" s="1796" t="s">
        <v>18</v>
      </c>
      <c r="I242" s="1796" t="s">
        <v>997</v>
      </c>
    </row>
    <row r="243" spans="1:9" ht="11.25" customHeight="1">
      <c r="A243" s="1796" t="s">
        <v>2193</v>
      </c>
      <c r="B243" s="1796" t="s">
        <v>14</v>
      </c>
      <c r="C243" s="1796" t="s">
        <v>2433</v>
      </c>
      <c r="D243" s="1796" t="s">
        <v>2434</v>
      </c>
      <c r="E243" s="1796" t="s">
        <v>2435</v>
      </c>
      <c r="F243" s="1796" t="s">
        <v>2211</v>
      </c>
      <c r="G243" s="1796" t="s">
        <v>18</v>
      </c>
      <c r="H243" s="1796" t="s">
        <v>18</v>
      </c>
      <c r="I243" s="1796" t="s">
        <v>997</v>
      </c>
    </row>
    <row r="244" spans="1:9" ht="11.25" customHeight="1">
      <c r="A244" s="1796" t="s">
        <v>2193</v>
      </c>
      <c r="B244" s="1796" t="s">
        <v>14</v>
      </c>
      <c r="C244" s="1796" t="s">
        <v>2436</v>
      </c>
      <c r="D244" s="1796" t="s">
        <v>2437</v>
      </c>
      <c r="E244" s="1796" t="s">
        <v>2438</v>
      </c>
      <c r="F244" s="1796" t="s">
        <v>2439</v>
      </c>
      <c r="G244" s="1796" t="s">
        <v>2440</v>
      </c>
      <c r="H244" s="1796" t="s">
        <v>18</v>
      </c>
      <c r="I244" s="1796" t="s">
        <v>997</v>
      </c>
    </row>
    <row r="245" spans="1:9" ht="11.25" customHeight="1">
      <c r="A245" s="1796" t="s">
        <v>2193</v>
      </c>
      <c r="B245" s="1796" t="s">
        <v>14</v>
      </c>
      <c r="C245" s="1796" t="s">
        <v>2441</v>
      </c>
      <c r="D245" s="1796" t="s">
        <v>2442</v>
      </c>
      <c r="E245" s="1796" t="s">
        <v>2443</v>
      </c>
      <c r="F245" s="1796" t="s">
        <v>2444</v>
      </c>
      <c r="G245" s="1796" t="s">
        <v>18</v>
      </c>
      <c r="H245" s="1796" t="s">
        <v>18</v>
      </c>
      <c r="I245" s="1796" t="s">
        <v>997</v>
      </c>
    </row>
    <row r="246" spans="1:9" ht="11.25" customHeight="1">
      <c r="A246" s="1796" t="s">
        <v>2193</v>
      </c>
      <c r="B246" s="1796" t="s">
        <v>14</v>
      </c>
      <c r="C246" s="1796" t="s">
        <v>2445</v>
      </c>
      <c r="D246" s="1796" t="s">
        <v>2446</v>
      </c>
      <c r="E246" s="1796" t="s">
        <v>2447</v>
      </c>
      <c r="F246" s="1796" t="s">
        <v>2448</v>
      </c>
      <c r="G246" s="1796" t="s">
        <v>2449</v>
      </c>
      <c r="H246" s="1796" t="s">
        <v>18</v>
      </c>
      <c r="I246" s="1796" t="s">
        <v>997</v>
      </c>
    </row>
    <row r="247" spans="1:9" ht="11.25" customHeight="1">
      <c r="A247" s="1796" t="s">
        <v>2193</v>
      </c>
      <c r="B247" s="1796" t="s">
        <v>14</v>
      </c>
      <c r="C247" s="1796" t="s">
        <v>2808</v>
      </c>
      <c r="D247" s="1796" t="s">
        <v>2809</v>
      </c>
      <c r="E247" s="1796" t="s">
        <v>2810</v>
      </c>
      <c r="F247" s="1796" t="s">
        <v>2206</v>
      </c>
      <c r="G247" s="1796" t="s">
        <v>2811</v>
      </c>
      <c r="H247" s="1796" t="s">
        <v>18</v>
      </c>
      <c r="I247" s="1796" t="s">
        <v>997</v>
      </c>
    </row>
    <row r="248" spans="1:9" ht="11.25" customHeight="1">
      <c r="A248" s="1796" t="s">
        <v>2193</v>
      </c>
      <c r="B248" s="1796" t="s">
        <v>14</v>
      </c>
      <c r="C248" s="1796" t="s">
        <v>2450</v>
      </c>
      <c r="D248" s="1796" t="s">
        <v>2451</v>
      </c>
      <c r="E248" s="1796" t="s">
        <v>2452</v>
      </c>
      <c r="F248" s="1796" t="s">
        <v>2453</v>
      </c>
      <c r="G248" s="1796" t="s">
        <v>2454</v>
      </c>
      <c r="H248" s="1796" t="s">
        <v>18</v>
      </c>
      <c r="I248" s="1796" t="s">
        <v>997</v>
      </c>
    </row>
    <row r="249" spans="1:9" ht="11.25" customHeight="1">
      <c r="A249" s="1796" t="s">
        <v>2193</v>
      </c>
      <c r="B249" s="1796" t="s">
        <v>14</v>
      </c>
      <c r="C249" s="1796" t="s">
        <v>2455</v>
      </c>
      <c r="D249" s="1796" t="s">
        <v>2456</v>
      </c>
      <c r="E249" s="1796" t="s">
        <v>2457</v>
      </c>
      <c r="F249" s="1796" t="s">
        <v>2295</v>
      </c>
      <c r="G249" s="1796" t="s">
        <v>18</v>
      </c>
      <c r="H249" s="1796" t="s">
        <v>18</v>
      </c>
      <c r="I249" s="1796" t="s">
        <v>997</v>
      </c>
    </row>
    <row r="250" spans="1:9" ht="11.25" customHeight="1">
      <c r="A250" s="1796" t="s">
        <v>2193</v>
      </c>
      <c r="B250" s="1796" t="s">
        <v>14</v>
      </c>
      <c r="C250" s="1796" t="s">
        <v>2458</v>
      </c>
      <c r="D250" s="1796" t="s">
        <v>2459</v>
      </c>
      <c r="E250" s="1796" t="s">
        <v>2460</v>
      </c>
      <c r="F250" s="1796" t="s">
        <v>2295</v>
      </c>
      <c r="G250" s="1796" t="s">
        <v>2461</v>
      </c>
      <c r="H250" s="1796" t="s">
        <v>18</v>
      </c>
      <c r="I250" s="1796" t="s">
        <v>997</v>
      </c>
    </row>
    <row r="251" spans="1:9" ht="11.25" customHeight="1">
      <c r="A251" s="1796" t="s">
        <v>2193</v>
      </c>
      <c r="B251" s="1796" t="s">
        <v>14</v>
      </c>
      <c r="C251" s="1796" t="s">
        <v>2462</v>
      </c>
      <c r="D251" s="1796" t="s">
        <v>2463</v>
      </c>
      <c r="E251" s="1796" t="s">
        <v>2464</v>
      </c>
      <c r="F251" s="1796" t="s">
        <v>2216</v>
      </c>
      <c r="G251" s="1796" t="s">
        <v>2465</v>
      </c>
      <c r="H251" s="1796" t="s">
        <v>18</v>
      </c>
      <c r="I251" s="1796" t="s">
        <v>997</v>
      </c>
    </row>
    <row r="252" spans="1:9" ht="11.25" customHeight="1">
      <c r="A252" s="1796" t="s">
        <v>2193</v>
      </c>
      <c r="B252" s="1796" t="s">
        <v>14</v>
      </c>
      <c r="C252" s="1796" t="s">
        <v>2466</v>
      </c>
      <c r="D252" s="1796" t="s">
        <v>2467</v>
      </c>
      <c r="E252" s="1796" t="s">
        <v>2468</v>
      </c>
      <c r="F252" s="1796" t="s">
        <v>2469</v>
      </c>
      <c r="G252" s="1796" t="s">
        <v>2470</v>
      </c>
      <c r="H252" s="1796" t="s">
        <v>18</v>
      </c>
      <c r="I252" s="1796" t="s">
        <v>997</v>
      </c>
    </row>
    <row r="253" spans="1:9" ht="11.25" customHeight="1">
      <c r="A253" s="1796" t="s">
        <v>2193</v>
      </c>
      <c r="B253" s="1796" t="s">
        <v>14</v>
      </c>
      <c r="C253" s="1796" t="s">
        <v>2471</v>
      </c>
      <c r="D253" s="1796" t="s">
        <v>2472</v>
      </c>
      <c r="E253" s="1796" t="s">
        <v>2473</v>
      </c>
      <c r="F253" s="1796" t="s">
        <v>2358</v>
      </c>
      <c r="G253" s="1796" t="s">
        <v>2474</v>
      </c>
      <c r="H253" s="1796" t="s">
        <v>18</v>
      </c>
      <c r="I253" s="1796" t="s">
        <v>997</v>
      </c>
    </row>
    <row r="254" spans="1:9" ht="11.25" customHeight="1">
      <c r="A254" s="1796" t="s">
        <v>2193</v>
      </c>
      <c r="B254" s="1796" t="s">
        <v>14</v>
      </c>
      <c r="C254" s="1796" t="s">
        <v>2812</v>
      </c>
      <c r="D254" s="1796" t="s">
        <v>2813</v>
      </c>
      <c r="E254" s="1796" t="s">
        <v>2814</v>
      </c>
      <c r="F254" s="1796" t="s">
        <v>2420</v>
      </c>
      <c r="G254" s="1796" t="s">
        <v>18</v>
      </c>
      <c r="H254" s="1796" t="s">
        <v>18</v>
      </c>
      <c r="I254" s="1796" t="s">
        <v>997</v>
      </c>
    </row>
    <row r="255" spans="1:9" ht="11.25" customHeight="1">
      <c r="A255" s="1796" t="s">
        <v>2193</v>
      </c>
      <c r="B255" s="1796" t="s">
        <v>14</v>
      </c>
      <c r="C255" s="1796" t="s">
        <v>2815</v>
      </c>
      <c r="D255" s="1796" t="s">
        <v>2816</v>
      </c>
      <c r="E255" s="1796" t="s">
        <v>2817</v>
      </c>
      <c r="F255" s="1796" t="s">
        <v>2239</v>
      </c>
      <c r="G255" s="1796" t="s">
        <v>2818</v>
      </c>
      <c r="H255" s="1796" t="s">
        <v>18</v>
      </c>
      <c r="I255" s="1796" t="s">
        <v>997</v>
      </c>
    </row>
    <row r="256" spans="1:9" ht="11.25" customHeight="1">
      <c r="A256" s="1796" t="s">
        <v>2193</v>
      </c>
      <c r="B256" s="1796" t="s">
        <v>14</v>
      </c>
      <c r="C256" s="1796" t="s">
        <v>2482</v>
      </c>
      <c r="D256" s="1796" t="s">
        <v>46</v>
      </c>
      <c r="E256" s="1796" t="s">
        <v>49</v>
      </c>
      <c r="F256" s="1796" t="s">
        <v>51</v>
      </c>
      <c r="G256" s="1796" t="s">
        <v>18</v>
      </c>
      <c r="H256" s="1796" t="s">
        <v>18</v>
      </c>
      <c r="I256" s="1796" t="s">
        <v>997</v>
      </c>
    </row>
    <row r="257" spans="1:9" ht="11.25" customHeight="1">
      <c r="A257" s="1796" t="s">
        <v>2193</v>
      </c>
      <c r="B257" s="1796" t="s">
        <v>14</v>
      </c>
      <c r="C257" s="1796" t="s">
        <v>2819</v>
      </c>
      <c r="D257" s="1796" t="s">
        <v>2820</v>
      </c>
      <c r="E257" s="1796" t="s">
        <v>2821</v>
      </c>
      <c r="F257" s="1796" t="s">
        <v>2439</v>
      </c>
      <c r="G257" s="1796" t="s">
        <v>18</v>
      </c>
      <c r="H257" s="1796" t="s">
        <v>18</v>
      </c>
      <c r="I257" s="1796" t="s">
        <v>997</v>
      </c>
    </row>
    <row r="258" spans="1:9" ht="11.25" customHeight="1">
      <c r="A258" s="1796" t="s">
        <v>2193</v>
      </c>
      <c r="B258" s="1796" t="s">
        <v>14</v>
      </c>
      <c r="C258" s="1796" t="s">
        <v>2514</v>
      </c>
      <c r="D258" s="1796" t="s">
        <v>2515</v>
      </c>
      <c r="E258" s="1796" t="s">
        <v>2516</v>
      </c>
      <c r="F258" s="1796" t="s">
        <v>2261</v>
      </c>
      <c r="G258" s="1796" t="s">
        <v>2517</v>
      </c>
      <c r="H258" s="1796" t="s">
        <v>18</v>
      </c>
      <c r="I258" s="1796" t="s">
        <v>997</v>
      </c>
    </row>
    <row r="259" spans="1:9" ht="11.25" customHeight="1">
      <c r="A259" s="1796" t="s">
        <v>2193</v>
      </c>
      <c r="B259" s="1796" t="s">
        <v>14</v>
      </c>
      <c r="C259" s="1796" t="s">
        <v>2822</v>
      </c>
      <c r="D259" s="1796" t="s">
        <v>2823</v>
      </c>
      <c r="E259" s="1796" t="s">
        <v>2824</v>
      </c>
      <c r="F259" s="1796" t="s">
        <v>2640</v>
      </c>
      <c r="G259" s="1796" t="s">
        <v>2825</v>
      </c>
      <c r="H259" s="1796" t="s">
        <v>18</v>
      </c>
      <c r="I259" s="1796" t="s">
        <v>997</v>
      </c>
    </row>
    <row r="260" spans="1:9" ht="11.25" customHeight="1">
      <c r="A260" s="1796" t="s">
        <v>2193</v>
      </c>
      <c r="B260" s="1796" t="s">
        <v>14</v>
      </c>
      <c r="C260" s="1796" t="s">
        <v>2518</v>
      </c>
      <c r="D260" s="1796" t="s">
        <v>2519</v>
      </c>
      <c r="E260" s="1796" t="s">
        <v>2520</v>
      </c>
      <c r="F260" s="1796" t="s">
        <v>2206</v>
      </c>
      <c r="G260" s="1796" t="s">
        <v>2521</v>
      </c>
      <c r="H260" s="1796" t="s">
        <v>18</v>
      </c>
      <c r="I260" s="1796" t="s">
        <v>997</v>
      </c>
    </row>
    <row r="261" spans="1:9" ht="11.25" customHeight="1">
      <c r="A261" s="1796" t="s">
        <v>2193</v>
      </c>
      <c r="B261" s="1796" t="s">
        <v>14</v>
      </c>
      <c r="C261" s="1796" t="s">
        <v>2826</v>
      </c>
      <c r="D261" s="1796" t="s">
        <v>2827</v>
      </c>
      <c r="E261" s="1796" t="s">
        <v>2828</v>
      </c>
      <c r="F261" s="1796" t="s">
        <v>2239</v>
      </c>
      <c r="G261" s="1796" t="s">
        <v>2829</v>
      </c>
      <c r="H261" s="1796" t="s">
        <v>18</v>
      </c>
      <c r="I261" s="1796" t="s">
        <v>997</v>
      </c>
    </row>
    <row r="262" spans="1:9" ht="11.25" customHeight="1">
      <c r="A262" s="1796" t="s">
        <v>2193</v>
      </c>
      <c r="B262" s="1796" t="s">
        <v>14</v>
      </c>
      <c r="C262" s="1796" t="s">
        <v>2830</v>
      </c>
      <c r="D262" s="1796" t="s">
        <v>2831</v>
      </c>
      <c r="E262" s="1796" t="s">
        <v>2832</v>
      </c>
      <c r="F262" s="1796" t="s">
        <v>2675</v>
      </c>
      <c r="G262" s="1796" t="s">
        <v>18</v>
      </c>
      <c r="H262" s="1796" t="s">
        <v>18</v>
      </c>
      <c r="I262" s="1796" t="s">
        <v>997</v>
      </c>
    </row>
    <row r="263" spans="1:9" ht="11.25" customHeight="1">
      <c r="A263" s="1796" t="s">
        <v>2193</v>
      </c>
      <c r="B263" s="1796" t="s">
        <v>14</v>
      </c>
      <c r="C263" s="1796" t="s">
        <v>2833</v>
      </c>
      <c r="D263" s="1796" t="s">
        <v>2834</v>
      </c>
      <c r="E263" s="1796" t="s">
        <v>2835</v>
      </c>
      <c r="F263" s="1796" t="s">
        <v>2239</v>
      </c>
      <c r="G263" s="1796" t="s">
        <v>18</v>
      </c>
      <c r="H263" s="1796" t="s">
        <v>18</v>
      </c>
      <c r="I263" s="1796" t="s">
        <v>997</v>
      </c>
    </row>
    <row r="264" spans="1:9" ht="11.25" customHeight="1">
      <c r="A264" s="1796" t="s">
        <v>2193</v>
      </c>
      <c r="B264" s="1796" t="s">
        <v>14</v>
      </c>
      <c r="C264" s="1796" t="s">
        <v>2530</v>
      </c>
      <c r="D264" s="1796" t="s">
        <v>2531</v>
      </c>
      <c r="E264" s="1796" t="s">
        <v>2532</v>
      </c>
      <c r="F264" s="1796" t="s">
        <v>2533</v>
      </c>
      <c r="G264" s="1796" t="s">
        <v>18</v>
      </c>
      <c r="H264" s="1796" t="s">
        <v>18</v>
      </c>
      <c r="I264" s="1796" t="s">
        <v>997</v>
      </c>
    </row>
    <row r="265" spans="1:9" ht="11.25" customHeight="1">
      <c r="A265" s="1796" t="s">
        <v>2193</v>
      </c>
      <c r="B265" s="1796" t="s">
        <v>14</v>
      </c>
      <c r="C265" s="1796" t="s">
        <v>2836</v>
      </c>
      <c r="D265" s="1796" t="s">
        <v>2837</v>
      </c>
      <c r="E265" s="1796" t="s">
        <v>2838</v>
      </c>
      <c r="F265" s="1796" t="s">
        <v>2640</v>
      </c>
      <c r="G265" s="1796" t="s">
        <v>2839</v>
      </c>
      <c r="H265" s="1796" t="s">
        <v>18</v>
      </c>
      <c r="I265" s="1796" t="s">
        <v>997</v>
      </c>
    </row>
    <row r="266" spans="1:9" ht="11.25" customHeight="1">
      <c r="A266" s="1796" t="s">
        <v>2193</v>
      </c>
      <c r="B266" s="1796" t="s">
        <v>14</v>
      </c>
      <c r="C266" s="1796" t="s">
        <v>2534</v>
      </c>
      <c r="D266" s="1796" t="s">
        <v>2535</v>
      </c>
      <c r="E266" s="1796" t="s">
        <v>2536</v>
      </c>
      <c r="F266" s="1796" t="s">
        <v>2295</v>
      </c>
      <c r="G266" s="1796" t="s">
        <v>18</v>
      </c>
      <c r="H266" s="1796" t="s">
        <v>18</v>
      </c>
      <c r="I266" s="1796" t="s">
        <v>997</v>
      </c>
    </row>
    <row r="267" spans="1:9" ht="11.25" customHeight="1">
      <c r="A267" s="1796" t="s">
        <v>2193</v>
      </c>
      <c r="B267" s="1796" t="s">
        <v>14</v>
      </c>
      <c r="C267" s="1796" t="s">
        <v>2541</v>
      </c>
      <c r="D267" s="1796" t="s">
        <v>2542</v>
      </c>
      <c r="E267" s="1796" t="s">
        <v>2543</v>
      </c>
      <c r="F267" s="1796" t="s">
        <v>2448</v>
      </c>
      <c r="G267" s="1796" t="s">
        <v>2544</v>
      </c>
      <c r="H267" s="1796" t="s">
        <v>18</v>
      </c>
      <c r="I267" s="1796" t="s">
        <v>997</v>
      </c>
    </row>
    <row r="268" spans="1:9" ht="11.25" customHeight="1">
      <c r="A268" s="1796" t="s">
        <v>2193</v>
      </c>
      <c r="B268" s="1796" t="s">
        <v>14</v>
      </c>
      <c r="C268" s="1796" t="s">
        <v>2840</v>
      </c>
      <c r="D268" s="1796" t="s">
        <v>2841</v>
      </c>
      <c r="E268" s="1796" t="s">
        <v>2842</v>
      </c>
      <c r="F268" s="1796" t="s">
        <v>2322</v>
      </c>
      <c r="G268" s="1796" t="s">
        <v>2843</v>
      </c>
      <c r="H268" s="1796" t="s">
        <v>18</v>
      </c>
      <c r="I268" s="1796" t="s">
        <v>997</v>
      </c>
    </row>
    <row r="269" spans="1:9" ht="11.25" customHeight="1">
      <c r="A269" s="1796" t="s">
        <v>2193</v>
      </c>
      <c r="B269" s="1796" t="s">
        <v>14</v>
      </c>
      <c r="C269" s="1796" t="s">
        <v>2844</v>
      </c>
      <c r="D269" s="1796" t="s">
        <v>2845</v>
      </c>
      <c r="E269" s="1796" t="s">
        <v>2846</v>
      </c>
      <c r="F269" s="1796" t="s">
        <v>2281</v>
      </c>
      <c r="G269" s="1796" t="s">
        <v>18</v>
      </c>
      <c r="H269" s="1796" t="s">
        <v>18</v>
      </c>
      <c r="I269" s="1796" t="s">
        <v>997</v>
      </c>
    </row>
    <row r="270" spans="1:9" ht="11.25" customHeight="1">
      <c r="A270" s="1796" t="s">
        <v>2193</v>
      </c>
      <c r="B270" s="1796" t="s">
        <v>14</v>
      </c>
      <c r="C270" s="1796" t="s">
        <v>2545</v>
      </c>
      <c r="D270" s="1796" t="s">
        <v>2546</v>
      </c>
      <c r="E270" s="1796" t="s">
        <v>2547</v>
      </c>
      <c r="F270" s="1796" t="s">
        <v>2444</v>
      </c>
      <c r="G270" s="1796" t="s">
        <v>2548</v>
      </c>
      <c r="H270" s="1796" t="s">
        <v>18</v>
      </c>
      <c r="I270" s="1796" t="s">
        <v>997</v>
      </c>
    </row>
    <row r="271" spans="1:9" ht="11.25" customHeight="1">
      <c r="A271" s="1796" t="s">
        <v>2193</v>
      </c>
      <c r="B271" s="1796" t="s">
        <v>14</v>
      </c>
      <c r="C271" s="1796" t="s">
        <v>2847</v>
      </c>
      <c r="D271" s="1796" t="s">
        <v>2848</v>
      </c>
      <c r="E271" s="1796" t="s">
        <v>2849</v>
      </c>
      <c r="F271" s="1796" t="s">
        <v>2211</v>
      </c>
      <c r="G271" s="1796" t="s">
        <v>2850</v>
      </c>
      <c r="H271" s="1796" t="s">
        <v>18</v>
      </c>
      <c r="I271" s="1796" t="s">
        <v>997</v>
      </c>
    </row>
    <row r="272" spans="1:9" ht="11.25" customHeight="1">
      <c r="A272" s="1796" t="s">
        <v>2193</v>
      </c>
      <c r="B272" s="1796" t="s">
        <v>14</v>
      </c>
      <c r="C272" s="1796" t="s">
        <v>2851</v>
      </c>
      <c r="D272" s="1796" t="s">
        <v>2852</v>
      </c>
      <c r="E272" s="1796" t="s">
        <v>2853</v>
      </c>
      <c r="F272" s="1796" t="s">
        <v>2221</v>
      </c>
      <c r="G272" s="1796" t="s">
        <v>2854</v>
      </c>
      <c r="H272" s="1796" t="s">
        <v>18</v>
      </c>
      <c r="I272" s="1796" t="s">
        <v>997</v>
      </c>
    </row>
    <row r="273" spans="1:9" ht="11.25" customHeight="1">
      <c r="A273" s="1796" t="s">
        <v>2193</v>
      </c>
      <c r="B273" s="1796" t="s">
        <v>14</v>
      </c>
      <c r="C273" s="1796" t="s">
        <v>2855</v>
      </c>
      <c r="D273" s="1796" t="s">
        <v>2856</v>
      </c>
      <c r="E273" s="1796" t="s">
        <v>2857</v>
      </c>
      <c r="F273" s="1796" t="s">
        <v>2239</v>
      </c>
      <c r="G273" s="1796" t="s">
        <v>2858</v>
      </c>
      <c r="H273" s="1796" t="s">
        <v>18</v>
      </c>
      <c r="I273" s="1796" t="s">
        <v>997</v>
      </c>
    </row>
    <row r="274" spans="1:9" ht="11.25" customHeight="1">
      <c r="A274" s="1796" t="s">
        <v>2193</v>
      </c>
      <c r="B274" s="1796" t="s">
        <v>14</v>
      </c>
      <c r="C274" s="1796" t="s">
        <v>2553</v>
      </c>
      <c r="D274" s="1796" t="s">
        <v>2554</v>
      </c>
      <c r="E274" s="1796" t="s">
        <v>2555</v>
      </c>
      <c r="F274" s="1796" t="s">
        <v>2317</v>
      </c>
      <c r="G274" s="1796" t="s">
        <v>2556</v>
      </c>
      <c r="H274" s="1796" t="s">
        <v>18</v>
      </c>
      <c r="I274" s="1796" t="s">
        <v>997</v>
      </c>
    </row>
    <row r="275" spans="1:9" ht="11.25" customHeight="1">
      <c r="A275" s="1796" t="s">
        <v>2193</v>
      </c>
      <c r="B275" s="1796" t="s">
        <v>14</v>
      </c>
      <c r="C275" s="1796" t="s">
        <v>2564</v>
      </c>
      <c r="D275" s="1796" t="s">
        <v>2565</v>
      </c>
      <c r="E275" s="1796" t="s">
        <v>2566</v>
      </c>
      <c r="F275" s="1796" t="s">
        <v>2239</v>
      </c>
      <c r="G275" s="1796" t="s">
        <v>2567</v>
      </c>
      <c r="H275" s="1796" t="s">
        <v>18</v>
      </c>
      <c r="I275" s="1796" t="s">
        <v>997</v>
      </c>
    </row>
    <row r="276" spans="1:9" ht="11.25" customHeight="1">
      <c r="A276" s="1796" t="s">
        <v>2193</v>
      </c>
      <c r="B276" s="1796" t="s">
        <v>14</v>
      </c>
      <c r="C276" s="1796" t="s">
        <v>2568</v>
      </c>
      <c r="D276" s="1796" t="s">
        <v>2569</v>
      </c>
      <c r="E276" s="1796" t="s">
        <v>2570</v>
      </c>
      <c r="F276" s="1796" t="s">
        <v>2335</v>
      </c>
      <c r="G276" s="1796" t="s">
        <v>2571</v>
      </c>
      <c r="H276" s="1796" t="s">
        <v>18</v>
      </c>
      <c r="I276" s="1796" t="s">
        <v>997</v>
      </c>
    </row>
    <row r="277" spans="1:9" ht="11.25" customHeight="1">
      <c r="A277" s="1796" t="s">
        <v>2193</v>
      </c>
      <c r="B277" s="1796" t="s">
        <v>14</v>
      </c>
      <c r="C277" s="1796" t="s">
        <v>2579</v>
      </c>
      <c r="D277" s="1796" t="s">
        <v>2576</v>
      </c>
      <c r="E277" s="1796" t="s">
        <v>2577</v>
      </c>
      <c r="F277" s="1796" t="s">
        <v>2216</v>
      </c>
      <c r="G277" s="1796" t="s">
        <v>18</v>
      </c>
      <c r="H277" s="1796" t="s">
        <v>18</v>
      </c>
      <c r="I277" s="1796" t="s">
        <v>997</v>
      </c>
    </row>
    <row r="278" spans="1:9" ht="11.25" customHeight="1">
      <c r="A278" s="1796" t="s">
        <v>2193</v>
      </c>
      <c r="B278" s="1796" t="s">
        <v>14</v>
      </c>
      <c r="C278" s="1796" t="s">
        <v>2859</v>
      </c>
      <c r="D278" s="1796" t="s">
        <v>2860</v>
      </c>
      <c r="E278" s="1796" t="s">
        <v>2861</v>
      </c>
      <c r="F278" s="1796" t="s">
        <v>2239</v>
      </c>
      <c r="G278" s="1796" t="s">
        <v>18</v>
      </c>
      <c r="H278" s="1796" t="s">
        <v>18</v>
      </c>
      <c r="I278" s="1796" t="s">
        <v>997</v>
      </c>
    </row>
    <row r="279" spans="1:9" ht="11.25" customHeight="1">
      <c r="A279" s="1796" t="s">
        <v>2193</v>
      </c>
      <c r="B279" s="1796" t="s">
        <v>14</v>
      </c>
      <c r="C279" s="1796" t="s">
        <v>2862</v>
      </c>
      <c r="D279" s="1796" t="s">
        <v>2863</v>
      </c>
      <c r="E279" s="1796" t="s">
        <v>2864</v>
      </c>
      <c r="F279" s="1796" t="s">
        <v>2239</v>
      </c>
      <c r="G279" s="1796" t="s">
        <v>2865</v>
      </c>
      <c r="H279" s="1796" t="s">
        <v>18</v>
      </c>
      <c r="I279" s="1796" t="s">
        <v>997</v>
      </c>
    </row>
    <row r="280" spans="1:9" ht="11.25" customHeight="1">
      <c r="A280" s="1796" t="s">
        <v>2193</v>
      </c>
      <c r="B280" s="1796" t="s">
        <v>14</v>
      </c>
      <c r="C280" s="1796" t="s">
        <v>2659</v>
      </c>
      <c r="D280" s="1796" t="s">
        <v>2660</v>
      </c>
      <c r="E280" s="1796" t="s">
        <v>2661</v>
      </c>
      <c r="F280" s="1796" t="s">
        <v>2261</v>
      </c>
      <c r="G280" s="1796" t="s">
        <v>18</v>
      </c>
      <c r="H280" s="1796" t="s">
        <v>18</v>
      </c>
      <c r="I280" s="1796" t="s">
        <v>997</v>
      </c>
    </row>
    <row r="281" spans="1:9" ht="11.25" customHeight="1">
      <c r="A281" s="1796" t="s">
        <v>2193</v>
      </c>
      <c r="B281" s="1796" t="s">
        <v>14</v>
      </c>
      <c r="C281" s="1796" t="s">
        <v>2666</v>
      </c>
      <c r="D281" s="1796" t="s">
        <v>2667</v>
      </c>
      <c r="E281" s="1796" t="s">
        <v>2668</v>
      </c>
      <c r="F281" s="1796" t="s">
        <v>2206</v>
      </c>
      <c r="G281" s="1796" t="s">
        <v>18</v>
      </c>
      <c r="H281" s="1796" t="s">
        <v>18</v>
      </c>
      <c r="I281" s="1796" t="s">
        <v>997</v>
      </c>
    </row>
    <row r="282" spans="1:9" ht="11.25" customHeight="1">
      <c r="A282" s="1796" t="s">
        <v>2193</v>
      </c>
      <c r="B282" s="1796" t="s">
        <v>14</v>
      </c>
      <c r="C282" s="1796" t="s">
        <v>2669</v>
      </c>
      <c r="D282" s="1796" t="s">
        <v>2670</v>
      </c>
      <c r="E282" s="1796" t="s">
        <v>2671</v>
      </c>
      <c r="F282" s="1796" t="s">
        <v>2657</v>
      </c>
      <c r="G282" s="1796" t="s">
        <v>18</v>
      </c>
      <c r="H282" s="1796" t="s">
        <v>18</v>
      </c>
      <c r="I282" s="1796" t="s">
        <v>997</v>
      </c>
    </row>
    <row r="283" spans="1:9" ht="11.25" customHeight="1">
      <c r="A283" s="1796" t="s">
        <v>2193</v>
      </c>
      <c r="B283" s="1796" t="s">
        <v>14</v>
      </c>
      <c r="C283" s="1796" t="s">
        <v>2672</v>
      </c>
      <c r="D283" s="1796" t="s">
        <v>2673</v>
      </c>
      <c r="E283" s="1796" t="s">
        <v>2674</v>
      </c>
      <c r="F283" s="1796" t="s">
        <v>2675</v>
      </c>
      <c r="G283" s="1796" t="s">
        <v>2676</v>
      </c>
      <c r="H283" s="1796" t="s">
        <v>18</v>
      </c>
      <c r="I283" s="1796" t="s">
        <v>997</v>
      </c>
    </row>
    <row r="284" spans="1:9" ht="11.25" customHeight="1">
      <c r="A284" s="1796" t="s">
        <v>2193</v>
      </c>
      <c r="B284" s="1796" t="s">
        <v>14</v>
      </c>
      <c r="C284" s="1796" t="s">
        <v>2866</v>
      </c>
      <c r="D284" s="1796" t="s">
        <v>2867</v>
      </c>
      <c r="E284" s="1796" t="s">
        <v>2868</v>
      </c>
      <c r="F284" s="1796" t="s">
        <v>2221</v>
      </c>
      <c r="G284" s="1796" t="s">
        <v>2869</v>
      </c>
      <c r="H284" s="1796" t="s">
        <v>18</v>
      </c>
      <c r="I284" s="1796" t="s">
        <v>997</v>
      </c>
    </row>
    <row r="285" spans="1:9" ht="11.25" customHeight="1">
      <c r="A285" s="1796" t="s">
        <v>2193</v>
      </c>
      <c r="B285" s="1796" t="s">
        <v>14</v>
      </c>
      <c r="C285" s="1796" t="s">
        <v>2870</v>
      </c>
      <c r="D285" s="1796" t="s">
        <v>2871</v>
      </c>
      <c r="E285" s="1796" t="s">
        <v>2872</v>
      </c>
      <c r="F285" s="1796" t="s">
        <v>2873</v>
      </c>
      <c r="G285" s="1796" t="s">
        <v>2874</v>
      </c>
      <c r="H285" s="1796" t="s">
        <v>18</v>
      </c>
      <c r="I285" s="1796" t="s">
        <v>997</v>
      </c>
    </row>
    <row r="286" spans="1:9" ht="11.25" customHeight="1">
      <c r="A286" s="1796" t="s">
        <v>2193</v>
      </c>
      <c r="B286" s="1796" t="s">
        <v>14</v>
      </c>
      <c r="C286" s="1796" t="s">
        <v>2699</v>
      </c>
      <c r="D286" s="1796" t="s">
        <v>2700</v>
      </c>
      <c r="E286" s="1796" t="s">
        <v>2701</v>
      </c>
      <c r="F286" s="1796" t="s">
        <v>2221</v>
      </c>
      <c r="G286" s="1796" t="s">
        <v>18</v>
      </c>
      <c r="H286" s="1796" t="s">
        <v>18</v>
      </c>
      <c r="I286" s="1796" t="s">
        <v>997</v>
      </c>
    </row>
    <row r="287" spans="1:9" ht="11.25" customHeight="1">
      <c r="A287" s="1796" t="s">
        <v>2193</v>
      </c>
      <c r="B287" s="1796" t="s">
        <v>14</v>
      </c>
      <c r="C287" s="1796" t="s">
        <v>2725</v>
      </c>
      <c r="D287" s="1796" t="s">
        <v>2726</v>
      </c>
      <c r="E287" s="1796" t="s">
        <v>2243</v>
      </c>
      <c r="F287" s="1796" t="s">
        <v>2727</v>
      </c>
      <c r="G287" s="1796" t="s">
        <v>2728</v>
      </c>
      <c r="H287" s="1796" t="s">
        <v>18</v>
      </c>
      <c r="I287" s="1796" t="s">
        <v>997</v>
      </c>
    </row>
    <row r="288" spans="1:9" ht="11.25" customHeight="1">
      <c r="A288" s="1796" t="s">
        <v>2193</v>
      </c>
      <c r="B288" s="1796" t="s">
        <v>14</v>
      </c>
      <c r="C288" s="1796" t="s">
        <v>2875</v>
      </c>
      <c r="D288" s="1796" t="s">
        <v>2876</v>
      </c>
      <c r="E288" s="1796" t="s">
        <v>2877</v>
      </c>
      <c r="F288" s="1796" t="s">
        <v>2533</v>
      </c>
      <c r="G288" s="1796" t="s">
        <v>2878</v>
      </c>
      <c r="H288" s="1796" t="s">
        <v>18</v>
      </c>
      <c r="I288" s="1796" t="s">
        <v>997</v>
      </c>
    </row>
    <row r="289" spans="1:9" ht="11.25" customHeight="1">
      <c r="A289" s="1796" t="s">
        <v>2193</v>
      </c>
      <c r="B289" s="1796" t="s">
        <v>14</v>
      </c>
      <c r="C289" s="1796" t="s">
        <v>2879</v>
      </c>
      <c r="D289" s="1796" t="s">
        <v>2880</v>
      </c>
      <c r="E289" s="1796" t="s">
        <v>2881</v>
      </c>
      <c r="F289" s="1796" t="s">
        <v>2206</v>
      </c>
      <c r="G289" s="1796" t="s">
        <v>2882</v>
      </c>
      <c r="H289" s="1796" t="s">
        <v>18</v>
      </c>
      <c r="I289" s="1796" t="s">
        <v>997</v>
      </c>
    </row>
    <row r="290" spans="1:9" ht="11.25" customHeight="1">
      <c r="A290" s="1796" t="s">
        <v>2193</v>
      </c>
      <c r="B290" s="1796" t="s">
        <v>14</v>
      </c>
      <c r="C290" s="1796" t="s">
        <v>2883</v>
      </c>
      <c r="D290" s="1796" t="s">
        <v>2884</v>
      </c>
      <c r="E290" s="1796" t="s">
        <v>2885</v>
      </c>
      <c r="F290" s="1796" t="s">
        <v>2295</v>
      </c>
      <c r="G290" s="1796" t="s">
        <v>18</v>
      </c>
      <c r="H290" s="1796" t="s">
        <v>18</v>
      </c>
      <c r="I290" s="1796" t="s">
        <v>997</v>
      </c>
    </row>
    <row r="291" spans="1:9" ht="11.25" customHeight="1">
      <c r="A291" s="1796" t="s">
        <v>2193</v>
      </c>
      <c r="B291" s="1796" t="s">
        <v>14</v>
      </c>
      <c r="C291" s="1796" t="s">
        <v>2886</v>
      </c>
      <c r="D291" s="1796" t="s">
        <v>2887</v>
      </c>
      <c r="E291" s="1796" t="s">
        <v>2888</v>
      </c>
      <c r="F291" s="1796" t="s">
        <v>2206</v>
      </c>
      <c r="G291" s="1796" t="s">
        <v>18</v>
      </c>
      <c r="H291" s="1796" t="s">
        <v>18</v>
      </c>
      <c r="I291" s="1796" t="s">
        <v>997</v>
      </c>
    </row>
    <row r="292" spans="1:9" ht="11.25" customHeight="1">
      <c r="A292" s="1796" t="s">
        <v>2193</v>
      </c>
      <c r="B292" s="1796" t="s">
        <v>14</v>
      </c>
      <c r="C292" s="1796" t="s">
        <v>2889</v>
      </c>
      <c r="D292" s="1796" t="s">
        <v>2890</v>
      </c>
      <c r="E292" s="1796" t="s">
        <v>2891</v>
      </c>
      <c r="F292" s="1796" t="s">
        <v>2295</v>
      </c>
      <c r="G292" s="1796" t="s">
        <v>18</v>
      </c>
      <c r="H292" s="1796" t="s">
        <v>18</v>
      </c>
      <c r="I292" s="1796" t="s">
        <v>997</v>
      </c>
    </row>
    <row r="293" spans="1:9" ht="11.25" customHeight="1">
      <c r="A293" s="1796" t="s">
        <v>2193</v>
      </c>
      <c r="B293" s="1796" t="s">
        <v>14</v>
      </c>
      <c r="C293" s="1796" t="s">
        <v>2892</v>
      </c>
      <c r="D293" s="1796" t="s">
        <v>2893</v>
      </c>
      <c r="E293" s="1796" t="s">
        <v>2894</v>
      </c>
      <c r="F293" s="1796" t="s">
        <v>2295</v>
      </c>
      <c r="G293" s="1796" t="s">
        <v>2895</v>
      </c>
      <c r="H293" s="1796" t="s">
        <v>18</v>
      </c>
      <c r="I293" s="1796" t="s">
        <v>997</v>
      </c>
    </row>
    <row r="294" spans="1:9" ht="11.25" customHeight="1">
      <c r="A294" s="1796" t="s">
        <v>2193</v>
      </c>
      <c r="B294" s="1796" t="s">
        <v>14</v>
      </c>
      <c r="C294" s="1796" t="s">
        <v>2896</v>
      </c>
      <c r="D294" s="1796" t="s">
        <v>2897</v>
      </c>
      <c r="E294" s="1796" t="s">
        <v>2898</v>
      </c>
      <c r="F294" s="1796" t="s">
        <v>2295</v>
      </c>
      <c r="G294" s="1796" t="s">
        <v>2899</v>
      </c>
      <c r="H294" s="1796" t="s">
        <v>18</v>
      </c>
      <c r="I294" s="1796" t="s">
        <v>997</v>
      </c>
    </row>
    <row r="295" spans="1:9" ht="11.25" customHeight="1">
      <c r="A295" s="1796" t="s">
        <v>2193</v>
      </c>
      <c r="B295" s="1796" t="s">
        <v>14</v>
      </c>
      <c r="C295" s="1796" t="s">
        <v>2900</v>
      </c>
      <c r="D295" s="1796" t="s">
        <v>2901</v>
      </c>
      <c r="E295" s="1796" t="s">
        <v>2902</v>
      </c>
      <c r="F295" s="1796" t="s">
        <v>2211</v>
      </c>
      <c r="G295" s="1796" t="s">
        <v>18</v>
      </c>
      <c r="H295" s="1796" t="s">
        <v>18</v>
      </c>
      <c r="I295" s="1796" t="s">
        <v>997</v>
      </c>
    </row>
    <row r="296" spans="1:9" ht="11.25" customHeight="1">
      <c r="A296" s="1796" t="s">
        <v>2193</v>
      </c>
      <c r="B296" s="1796" t="s">
        <v>14</v>
      </c>
      <c r="C296" s="1796" t="s">
        <v>2903</v>
      </c>
      <c r="D296" s="1796" t="s">
        <v>2901</v>
      </c>
      <c r="E296" s="1796" t="s">
        <v>2904</v>
      </c>
      <c r="F296" s="1796" t="s">
        <v>2425</v>
      </c>
      <c r="G296" s="1796" t="s">
        <v>18</v>
      </c>
      <c r="H296" s="1796" t="s">
        <v>18</v>
      </c>
      <c r="I296" s="1796" t="s">
        <v>997</v>
      </c>
    </row>
    <row r="297" spans="1:9" ht="11.25" customHeight="1">
      <c r="A297" s="1796" t="s">
        <v>2193</v>
      </c>
      <c r="B297" s="1796" t="s">
        <v>14</v>
      </c>
      <c r="C297" s="1796" t="s">
        <v>2905</v>
      </c>
      <c r="D297" s="1796" t="s">
        <v>2906</v>
      </c>
      <c r="E297" s="1796" t="s">
        <v>2907</v>
      </c>
      <c r="F297" s="1796" t="s">
        <v>2425</v>
      </c>
      <c r="G297" s="1796" t="s">
        <v>2908</v>
      </c>
      <c r="H297" s="1796" t="s">
        <v>18</v>
      </c>
      <c r="I297" s="1796" t="s">
        <v>997</v>
      </c>
    </row>
    <row r="298" spans="1:9" ht="11.25" customHeight="1">
      <c r="A298" s="1796" t="s">
        <v>2193</v>
      </c>
      <c r="B298" s="1796" t="s">
        <v>14</v>
      </c>
      <c r="C298" s="1796" t="s">
        <v>2909</v>
      </c>
      <c r="D298" s="1796" t="s">
        <v>2910</v>
      </c>
      <c r="E298" s="1796" t="s">
        <v>2911</v>
      </c>
      <c r="F298" s="1796" t="s">
        <v>2912</v>
      </c>
      <c r="G298" s="1796" t="s">
        <v>2913</v>
      </c>
      <c r="H298" s="1796" t="s">
        <v>18</v>
      </c>
      <c r="I298" s="1796" t="s">
        <v>997</v>
      </c>
    </row>
    <row r="299" spans="1:9" ht="11.25" customHeight="1">
      <c r="A299" s="1796" t="s">
        <v>2193</v>
      </c>
      <c r="B299" s="1796" t="s">
        <v>14</v>
      </c>
      <c r="C299" s="1796" t="s">
        <v>2914</v>
      </c>
      <c r="D299" s="1796" t="s">
        <v>2915</v>
      </c>
      <c r="E299" s="1796" t="s">
        <v>2916</v>
      </c>
      <c r="F299" s="1796" t="s">
        <v>2295</v>
      </c>
      <c r="G299" s="1796" t="s">
        <v>2917</v>
      </c>
      <c r="H299" s="1796" t="s">
        <v>18</v>
      </c>
      <c r="I299" s="1796" t="s">
        <v>997</v>
      </c>
    </row>
    <row r="300" spans="1:9" ht="11.25" customHeight="1">
      <c r="A300" s="1796" t="s">
        <v>2193</v>
      </c>
      <c r="B300" s="1796" t="s">
        <v>14</v>
      </c>
      <c r="C300" s="1796" t="s">
        <v>2918</v>
      </c>
      <c r="D300" s="1796" t="s">
        <v>2919</v>
      </c>
      <c r="E300" s="1796" t="s">
        <v>2920</v>
      </c>
      <c r="F300" s="1796" t="s">
        <v>2399</v>
      </c>
      <c r="G300" s="1796" t="s">
        <v>18</v>
      </c>
      <c r="H300" s="1796" t="s">
        <v>18</v>
      </c>
      <c r="I300" s="1796" t="s">
        <v>997</v>
      </c>
    </row>
    <row r="301" spans="1:9" ht="11.25" customHeight="1">
      <c r="A301" s="1796" t="s">
        <v>2193</v>
      </c>
      <c r="B301" s="1796" t="s">
        <v>14</v>
      </c>
      <c r="C301" s="1796" t="s">
        <v>2921</v>
      </c>
      <c r="D301" s="1796" t="s">
        <v>2922</v>
      </c>
      <c r="E301" s="1796" t="s">
        <v>2923</v>
      </c>
      <c r="F301" s="1796" t="s">
        <v>2295</v>
      </c>
      <c r="G301" s="1796" t="s">
        <v>18</v>
      </c>
      <c r="H301" s="1796" t="s">
        <v>18</v>
      </c>
      <c r="I301" s="1796" t="s">
        <v>997</v>
      </c>
    </row>
    <row r="302" spans="1:9" ht="11.25" customHeight="1">
      <c r="A302" s="1796" t="s">
        <v>2193</v>
      </c>
      <c r="B302" s="1796" t="s">
        <v>14</v>
      </c>
      <c r="C302" s="1796" t="s">
        <v>2924</v>
      </c>
      <c r="D302" s="1796" t="s">
        <v>2925</v>
      </c>
      <c r="E302" s="1796" t="s">
        <v>2926</v>
      </c>
      <c r="F302" s="1796" t="s">
        <v>2211</v>
      </c>
      <c r="G302" s="1796" t="s">
        <v>2927</v>
      </c>
      <c r="H302" s="1796" t="s">
        <v>18</v>
      </c>
      <c r="I302" s="1796" t="s">
        <v>997</v>
      </c>
    </row>
    <row r="303" spans="1:9" ht="11.25" customHeight="1">
      <c r="A303" s="1796" t="s">
        <v>2193</v>
      </c>
      <c r="B303" s="1796" t="s">
        <v>14</v>
      </c>
      <c r="C303" s="1796" t="s">
        <v>2731</v>
      </c>
      <c r="D303" s="1796" t="s">
        <v>2732</v>
      </c>
      <c r="E303" s="1796" t="s">
        <v>2733</v>
      </c>
      <c r="F303" s="1796" t="s">
        <v>2734</v>
      </c>
      <c r="G303" s="1796" t="s">
        <v>18</v>
      </c>
      <c r="H303" s="1796" t="s">
        <v>18</v>
      </c>
      <c r="I303" s="1796" t="s">
        <v>997</v>
      </c>
    </row>
    <row r="304" spans="1:9" ht="11.25" customHeight="1">
      <c r="A304" s="1796" t="s">
        <v>2193</v>
      </c>
      <c r="B304" s="1796" t="s">
        <v>14</v>
      </c>
      <c r="C304" s="1796" t="s">
        <v>2928</v>
      </c>
      <c r="D304" s="1796" t="s">
        <v>2929</v>
      </c>
      <c r="E304" s="1796" t="s">
        <v>2930</v>
      </c>
      <c r="F304" s="1796" t="s">
        <v>2221</v>
      </c>
      <c r="G304" s="1796" t="s">
        <v>18</v>
      </c>
      <c r="H304" s="1796" t="s">
        <v>18</v>
      </c>
      <c r="I304" s="1796" t="s">
        <v>997</v>
      </c>
    </row>
    <row r="305" spans="1:9" ht="11.25" customHeight="1">
      <c r="A305" s="1796" t="s">
        <v>2193</v>
      </c>
      <c r="B305" s="1796" t="s">
        <v>14</v>
      </c>
      <c r="C305" s="1796" t="s">
        <v>2931</v>
      </c>
      <c r="D305" s="1796" t="s">
        <v>2932</v>
      </c>
      <c r="E305" s="1796" t="s">
        <v>2933</v>
      </c>
      <c r="F305" s="1796" t="s">
        <v>2934</v>
      </c>
      <c r="G305" s="1796" t="s">
        <v>2935</v>
      </c>
      <c r="H305" s="1796" t="s">
        <v>18</v>
      </c>
      <c r="I305" s="1796" t="s">
        <v>997</v>
      </c>
    </row>
    <row r="306" spans="1:9" ht="11.25" customHeight="1">
      <c r="A306" s="1796" t="s">
        <v>2193</v>
      </c>
      <c r="B306" s="1796" t="s">
        <v>14</v>
      </c>
      <c r="C306" s="1796" t="s">
        <v>2735</v>
      </c>
      <c r="D306" s="1796" t="s">
        <v>2736</v>
      </c>
      <c r="E306" s="1796" t="s">
        <v>2737</v>
      </c>
      <c r="F306" s="1796" t="s">
        <v>2738</v>
      </c>
      <c r="G306" s="1796" t="s">
        <v>18</v>
      </c>
      <c r="H306" s="1796" t="s">
        <v>18</v>
      </c>
      <c r="I306" s="1796" t="s">
        <v>997</v>
      </c>
    </row>
    <row r="307" spans="1:9" ht="11.25" customHeight="1">
      <c r="A307" s="1796" t="s">
        <v>2193</v>
      </c>
      <c r="B307" s="1796" t="s">
        <v>14</v>
      </c>
      <c r="C307" s="1796" t="s">
        <v>2742</v>
      </c>
      <c r="D307" s="1796" t="s">
        <v>2743</v>
      </c>
      <c r="E307" s="1796" t="s">
        <v>2744</v>
      </c>
      <c r="F307" s="1796" t="s">
        <v>2439</v>
      </c>
      <c r="G307" s="1796" t="s">
        <v>2745</v>
      </c>
      <c r="H307" s="1796" t="s">
        <v>18</v>
      </c>
      <c r="I307" s="1796" t="s">
        <v>997</v>
      </c>
    </row>
    <row r="308" spans="1:9" ht="11.25" customHeight="1">
      <c r="A308" s="1796" t="s">
        <v>2193</v>
      </c>
      <c r="B308" s="1796" t="s">
        <v>14</v>
      </c>
      <c r="C308" s="1796" t="s">
        <v>2749</v>
      </c>
      <c r="D308" s="1796" t="s">
        <v>2750</v>
      </c>
      <c r="E308" s="1796" t="s">
        <v>2751</v>
      </c>
      <c r="F308" s="1796" t="s">
        <v>2752</v>
      </c>
      <c r="G308" s="1796" t="s">
        <v>18</v>
      </c>
      <c r="H308" s="1796" t="s">
        <v>18</v>
      </c>
      <c r="I308" s="1796" t="s">
        <v>997</v>
      </c>
    </row>
    <row r="309" spans="1:9" ht="11.25" customHeight="1">
      <c r="A309" s="1796" t="s">
        <v>2193</v>
      </c>
      <c r="B309" s="1796" t="s">
        <v>14</v>
      </c>
      <c r="C309" s="1796" t="s">
        <v>2194</v>
      </c>
      <c r="D309" s="1796" t="s">
        <v>2195</v>
      </c>
      <c r="E309" s="1796" t="s">
        <v>2196</v>
      </c>
      <c r="F309" s="1796" t="s">
        <v>2197</v>
      </c>
      <c r="G309" s="1796" t="s">
        <v>2198</v>
      </c>
      <c r="H309" s="1796" t="s">
        <v>18</v>
      </c>
      <c r="I309" s="1796" t="s">
        <v>609</v>
      </c>
    </row>
    <row r="310" spans="1:9" ht="11.25" customHeight="1">
      <c r="A310" s="1796" t="s">
        <v>2193</v>
      </c>
      <c r="B310" s="1796" t="s">
        <v>14</v>
      </c>
      <c r="C310" s="1796" t="s">
        <v>2936</v>
      </c>
      <c r="D310" s="1796" t="s">
        <v>2937</v>
      </c>
      <c r="E310" s="1796" t="s">
        <v>2938</v>
      </c>
      <c r="F310" s="1796" t="s">
        <v>2365</v>
      </c>
      <c r="G310" s="1796" t="s">
        <v>2939</v>
      </c>
      <c r="H310" s="1796" t="s">
        <v>18</v>
      </c>
      <c r="I310" s="1796" t="s">
        <v>609</v>
      </c>
    </row>
    <row r="311" spans="1:9" ht="11.25" customHeight="1">
      <c r="A311" s="1796" t="s">
        <v>2193</v>
      </c>
      <c r="B311" s="1796" t="s">
        <v>14</v>
      </c>
      <c r="C311" s="1796" t="s">
        <v>2213</v>
      </c>
      <c r="D311" s="1796" t="s">
        <v>2214</v>
      </c>
      <c r="E311" s="1796" t="s">
        <v>2215</v>
      </c>
      <c r="F311" s="1796" t="s">
        <v>2216</v>
      </c>
      <c r="G311" s="1796" t="s">
        <v>2217</v>
      </c>
      <c r="H311" s="1796" t="s">
        <v>18</v>
      </c>
      <c r="I311" s="1796" t="s">
        <v>609</v>
      </c>
    </row>
    <row r="312" spans="1:9" ht="11.25" customHeight="1">
      <c r="A312" s="1796" t="s">
        <v>2193</v>
      </c>
      <c r="B312" s="1796" t="s">
        <v>14</v>
      </c>
      <c r="C312" s="1796" t="s">
        <v>2218</v>
      </c>
      <c r="D312" s="1796" t="s">
        <v>2219</v>
      </c>
      <c r="E312" s="1796" t="s">
        <v>2220</v>
      </c>
      <c r="F312" s="1796" t="s">
        <v>2221</v>
      </c>
      <c r="G312" s="1796" t="s">
        <v>2222</v>
      </c>
      <c r="H312" s="1796" t="s">
        <v>18</v>
      </c>
      <c r="I312" s="1796" t="s">
        <v>609</v>
      </c>
    </row>
    <row r="313" spans="1:9" ht="11.25" customHeight="1">
      <c r="A313" s="1796" t="s">
        <v>2193</v>
      </c>
      <c r="B313" s="1796" t="s">
        <v>14</v>
      </c>
      <c r="C313" s="1796" t="s">
        <v>2228</v>
      </c>
      <c r="D313" s="1796" t="s">
        <v>2229</v>
      </c>
      <c r="E313" s="1796" t="s">
        <v>2230</v>
      </c>
      <c r="F313" s="1796" t="s">
        <v>2231</v>
      </c>
      <c r="G313" s="1796" t="s">
        <v>18</v>
      </c>
      <c r="H313" s="1796" t="s">
        <v>18</v>
      </c>
      <c r="I313" s="1796" t="s">
        <v>609</v>
      </c>
    </row>
    <row r="314" spans="1:9" ht="11.25" customHeight="1">
      <c r="A314" s="1796" t="s">
        <v>2193</v>
      </c>
      <c r="B314" s="1796" t="s">
        <v>14</v>
      </c>
      <c r="C314" s="1796" t="s">
        <v>2236</v>
      </c>
      <c r="D314" s="1796" t="s">
        <v>2237</v>
      </c>
      <c r="E314" s="1796" t="s">
        <v>2238</v>
      </c>
      <c r="F314" s="1796" t="s">
        <v>2239</v>
      </c>
      <c r="G314" s="1796" t="s">
        <v>2240</v>
      </c>
      <c r="H314" s="1796" t="s">
        <v>18</v>
      </c>
      <c r="I314" s="1796" t="s">
        <v>609</v>
      </c>
    </row>
    <row r="315" spans="1:9" ht="11.25" customHeight="1">
      <c r="A315" s="1796" t="s">
        <v>2193</v>
      </c>
      <c r="B315" s="1796" t="s">
        <v>14</v>
      </c>
      <c r="C315" s="1796" t="s">
        <v>18</v>
      </c>
      <c r="D315" s="1796" t="s">
        <v>2246</v>
      </c>
      <c r="E315" s="1796" t="s">
        <v>2247</v>
      </c>
      <c r="F315" s="1796" t="s">
        <v>2239</v>
      </c>
      <c r="G315" s="1796" t="s">
        <v>18</v>
      </c>
      <c r="H315" s="1796" t="s">
        <v>18</v>
      </c>
      <c r="I315" s="1796" t="s">
        <v>609</v>
      </c>
    </row>
    <row r="316" spans="1:9" ht="11.25" customHeight="1">
      <c r="A316" s="1796" t="s">
        <v>2193</v>
      </c>
      <c r="B316" s="1796" t="s">
        <v>14</v>
      </c>
      <c r="C316" s="1796" t="s">
        <v>2760</v>
      </c>
      <c r="D316" s="1796" t="s">
        <v>2761</v>
      </c>
      <c r="E316" s="1796" t="s">
        <v>2762</v>
      </c>
      <c r="F316" s="1796" t="s">
        <v>2763</v>
      </c>
      <c r="G316" s="1796" t="s">
        <v>2764</v>
      </c>
      <c r="H316" s="1796" t="s">
        <v>18</v>
      </c>
      <c r="I316" s="1796" t="s">
        <v>609</v>
      </c>
    </row>
    <row r="317" spans="1:9" ht="11.25" customHeight="1">
      <c r="A317" s="1796" t="s">
        <v>2193</v>
      </c>
      <c r="B317" s="1796" t="s">
        <v>14</v>
      </c>
      <c r="C317" s="1796" t="s">
        <v>2258</v>
      </c>
      <c r="D317" s="1796" t="s">
        <v>2259</v>
      </c>
      <c r="E317" s="1796" t="s">
        <v>2260</v>
      </c>
      <c r="F317" s="1796" t="s">
        <v>2261</v>
      </c>
      <c r="G317" s="1796" t="s">
        <v>18</v>
      </c>
      <c r="H317" s="1796" t="s">
        <v>18</v>
      </c>
      <c r="I317" s="1796" t="s">
        <v>609</v>
      </c>
    </row>
    <row r="318" spans="1:9" ht="11.25" customHeight="1">
      <c r="A318" s="1796" t="s">
        <v>2193</v>
      </c>
      <c r="B318" s="1796" t="s">
        <v>14</v>
      </c>
      <c r="C318" s="1796" t="s">
        <v>2266</v>
      </c>
      <c r="D318" s="1796" t="s">
        <v>2267</v>
      </c>
      <c r="E318" s="1796" t="s">
        <v>2268</v>
      </c>
      <c r="F318" s="1796" t="s">
        <v>433</v>
      </c>
      <c r="G318" s="1796" t="s">
        <v>2269</v>
      </c>
      <c r="H318" s="1796" t="s">
        <v>18</v>
      </c>
      <c r="I318" s="1796" t="s">
        <v>609</v>
      </c>
    </row>
    <row r="319" spans="1:9" ht="11.25" customHeight="1">
      <c r="A319" s="1796" t="s">
        <v>2193</v>
      </c>
      <c r="B319" s="1796" t="s">
        <v>14</v>
      </c>
      <c r="C319" s="1796" t="s">
        <v>2765</v>
      </c>
      <c r="D319" s="1796" t="s">
        <v>2766</v>
      </c>
      <c r="E319" s="1796" t="s">
        <v>2767</v>
      </c>
      <c r="F319" s="1796" t="s">
        <v>433</v>
      </c>
      <c r="G319" s="1796" t="s">
        <v>18</v>
      </c>
      <c r="H319" s="1796" t="s">
        <v>18</v>
      </c>
      <c r="I319" s="1796" t="s">
        <v>609</v>
      </c>
    </row>
    <row r="320" spans="1:9" ht="11.25" customHeight="1">
      <c r="A320" s="1796" t="s">
        <v>2193</v>
      </c>
      <c r="B320" s="1796" t="s">
        <v>14</v>
      </c>
      <c r="C320" s="1796" t="s">
        <v>2270</v>
      </c>
      <c r="D320" s="1796" t="s">
        <v>2271</v>
      </c>
      <c r="E320" s="1796" t="s">
        <v>2272</v>
      </c>
      <c r="F320" s="1796" t="s">
        <v>433</v>
      </c>
      <c r="G320" s="1796" t="s">
        <v>2273</v>
      </c>
      <c r="H320" s="1796" t="s">
        <v>18</v>
      </c>
      <c r="I320" s="1796" t="s">
        <v>609</v>
      </c>
    </row>
    <row r="321" spans="1:9" ht="11.25" customHeight="1">
      <c r="A321" s="1796" t="s">
        <v>2193</v>
      </c>
      <c r="B321" s="1796" t="s">
        <v>14</v>
      </c>
      <c r="C321" s="1796" t="s">
        <v>2274</v>
      </c>
      <c r="D321" s="1796" t="s">
        <v>2275</v>
      </c>
      <c r="E321" s="1796" t="s">
        <v>2276</v>
      </c>
      <c r="F321" s="1796" t="s">
        <v>433</v>
      </c>
      <c r="G321" s="1796" t="s">
        <v>2277</v>
      </c>
      <c r="H321" s="1796" t="s">
        <v>18</v>
      </c>
      <c r="I321" s="1796" t="s">
        <v>609</v>
      </c>
    </row>
    <row r="322" spans="1:9" ht="11.25" customHeight="1">
      <c r="A322" s="1796" t="s">
        <v>2193</v>
      </c>
      <c r="B322" s="1796" t="s">
        <v>14</v>
      </c>
      <c r="C322" s="1796" t="s">
        <v>2768</v>
      </c>
      <c r="D322" s="1796" t="s">
        <v>2769</v>
      </c>
      <c r="E322" s="1796" t="s">
        <v>2770</v>
      </c>
      <c r="F322" s="1796" t="s">
        <v>433</v>
      </c>
      <c r="G322" s="1796" t="s">
        <v>18</v>
      </c>
      <c r="H322" s="1796" t="s">
        <v>18</v>
      </c>
      <c r="I322" s="1796" t="s">
        <v>609</v>
      </c>
    </row>
    <row r="323" spans="1:9" ht="11.25" customHeight="1">
      <c r="A323" s="1796" t="s">
        <v>2193</v>
      </c>
      <c r="B323" s="1796" t="s">
        <v>14</v>
      </c>
      <c r="C323" s="1796" t="s">
        <v>2282</v>
      </c>
      <c r="D323" s="1796" t="s">
        <v>2283</v>
      </c>
      <c r="E323" s="1796" t="s">
        <v>2284</v>
      </c>
      <c r="F323" s="1796" t="s">
        <v>2221</v>
      </c>
      <c r="G323" s="1796" t="s">
        <v>2285</v>
      </c>
      <c r="H323" s="1796" t="s">
        <v>18</v>
      </c>
      <c r="I323" s="1796" t="s">
        <v>609</v>
      </c>
    </row>
    <row r="324" spans="1:9" ht="11.25" customHeight="1">
      <c r="A324" s="1796" t="s">
        <v>2193</v>
      </c>
      <c r="B324" s="1796" t="s">
        <v>14</v>
      </c>
      <c r="C324" s="1796" t="s">
        <v>2286</v>
      </c>
      <c r="D324" s="1796" t="s">
        <v>2287</v>
      </c>
      <c r="E324" s="1796" t="s">
        <v>2288</v>
      </c>
      <c r="F324" s="1796" t="s">
        <v>2221</v>
      </c>
      <c r="G324" s="1796" t="s">
        <v>18</v>
      </c>
      <c r="H324" s="1796" t="s">
        <v>18</v>
      </c>
      <c r="I324" s="1796" t="s">
        <v>609</v>
      </c>
    </row>
    <row r="325" spans="1:9" ht="11.25" customHeight="1">
      <c r="A325" s="1796" t="s">
        <v>2193</v>
      </c>
      <c r="B325" s="1796" t="s">
        <v>14</v>
      </c>
      <c r="C325" s="1796" t="s">
        <v>2289</v>
      </c>
      <c r="D325" s="1796" t="s">
        <v>2290</v>
      </c>
      <c r="E325" s="1796" t="s">
        <v>2291</v>
      </c>
      <c r="F325" s="1796" t="s">
        <v>2239</v>
      </c>
      <c r="G325" s="1796" t="s">
        <v>18</v>
      </c>
      <c r="H325" s="1796" t="s">
        <v>18</v>
      </c>
      <c r="I325" s="1796" t="s">
        <v>609</v>
      </c>
    </row>
    <row r="326" spans="1:9" ht="11.25" customHeight="1">
      <c r="A326" s="1796" t="s">
        <v>2193</v>
      </c>
      <c r="B326" s="1796" t="s">
        <v>14</v>
      </c>
      <c r="C326" s="1796" t="s">
        <v>2323</v>
      </c>
      <c r="D326" s="1796" t="s">
        <v>2324</v>
      </c>
      <c r="E326" s="1796" t="s">
        <v>2325</v>
      </c>
      <c r="F326" s="1796" t="s">
        <v>2202</v>
      </c>
      <c r="G326" s="1796" t="s">
        <v>2326</v>
      </c>
      <c r="H326" s="1796" t="s">
        <v>18</v>
      </c>
      <c r="I326" s="1796" t="s">
        <v>609</v>
      </c>
    </row>
    <row r="327" spans="1:9" ht="11.25" customHeight="1">
      <c r="A327" s="1796" t="s">
        <v>2193</v>
      </c>
      <c r="B327" s="1796" t="s">
        <v>14</v>
      </c>
      <c r="C327" s="1796" t="s">
        <v>2327</v>
      </c>
      <c r="D327" s="1796" t="s">
        <v>2328</v>
      </c>
      <c r="E327" s="1796" t="s">
        <v>2329</v>
      </c>
      <c r="F327" s="1796" t="s">
        <v>2330</v>
      </c>
      <c r="G327" s="1796" t="s">
        <v>2331</v>
      </c>
      <c r="H327" s="1796" t="s">
        <v>18</v>
      </c>
      <c r="I327" s="1796" t="s">
        <v>609</v>
      </c>
    </row>
    <row r="328" spans="1:9" ht="11.25" customHeight="1">
      <c r="A328" s="1796" t="s">
        <v>2193</v>
      </c>
      <c r="B328" s="1796" t="s">
        <v>14</v>
      </c>
      <c r="C328" s="1796" t="s">
        <v>2786</v>
      </c>
      <c r="D328" s="1796" t="s">
        <v>2787</v>
      </c>
      <c r="E328" s="1796" t="s">
        <v>2788</v>
      </c>
      <c r="F328" s="1796" t="s">
        <v>51</v>
      </c>
      <c r="G328" s="1796" t="s">
        <v>2789</v>
      </c>
      <c r="H328" s="1796" t="s">
        <v>18</v>
      </c>
      <c r="I328" s="1796" t="s">
        <v>609</v>
      </c>
    </row>
    <row r="329" spans="1:9" ht="11.25" customHeight="1">
      <c r="A329" s="1796" t="s">
        <v>2193</v>
      </c>
      <c r="B329" s="1796" t="s">
        <v>14</v>
      </c>
      <c r="C329" s="1796" t="s">
        <v>2337</v>
      </c>
      <c r="D329" s="1796" t="s">
        <v>2338</v>
      </c>
      <c r="E329" s="1796" t="s">
        <v>2339</v>
      </c>
      <c r="F329" s="1796" t="s">
        <v>2281</v>
      </c>
      <c r="G329" s="1796" t="s">
        <v>2340</v>
      </c>
      <c r="H329" s="1796" t="s">
        <v>18</v>
      </c>
      <c r="I329" s="1796" t="s">
        <v>609</v>
      </c>
    </row>
    <row r="330" spans="1:9" ht="11.25" customHeight="1">
      <c r="A330" s="1796" t="s">
        <v>2193</v>
      </c>
      <c r="B330" s="1796" t="s">
        <v>14</v>
      </c>
      <c r="C330" s="1796" t="s">
        <v>2346</v>
      </c>
      <c r="D330" s="1796" t="s">
        <v>2347</v>
      </c>
      <c r="E330" s="1796" t="s">
        <v>2348</v>
      </c>
      <c r="F330" s="1796" t="s">
        <v>2349</v>
      </c>
      <c r="G330" s="1796" t="s">
        <v>2350</v>
      </c>
      <c r="H330" s="1796" t="s">
        <v>18</v>
      </c>
      <c r="I330" s="1796" t="s">
        <v>609</v>
      </c>
    </row>
    <row r="331" spans="1:9" ht="11.25" customHeight="1">
      <c r="A331" s="1796" t="s">
        <v>2193</v>
      </c>
      <c r="B331" s="1796" t="s">
        <v>14</v>
      </c>
      <c r="C331" s="1796" t="s">
        <v>2940</v>
      </c>
      <c r="D331" s="1796" t="s">
        <v>2941</v>
      </c>
      <c r="E331" s="1796" t="s">
        <v>2942</v>
      </c>
      <c r="F331" s="1796" t="s">
        <v>2358</v>
      </c>
      <c r="G331" s="1796" t="s">
        <v>2943</v>
      </c>
      <c r="H331" s="1796" t="s">
        <v>18</v>
      </c>
      <c r="I331" s="1796" t="s">
        <v>609</v>
      </c>
    </row>
    <row r="332" spans="1:9" ht="11.25" customHeight="1">
      <c r="A332" s="1796" t="s">
        <v>2193</v>
      </c>
      <c r="B332" s="1796" t="s">
        <v>14</v>
      </c>
      <c r="C332" s="1796" t="s">
        <v>2790</v>
      </c>
      <c r="D332" s="1796" t="s">
        <v>2791</v>
      </c>
      <c r="E332" s="1796" t="s">
        <v>2792</v>
      </c>
      <c r="F332" s="1796" t="s">
        <v>2317</v>
      </c>
      <c r="G332" s="1796" t="s">
        <v>2793</v>
      </c>
      <c r="H332" s="1796" t="s">
        <v>18</v>
      </c>
      <c r="I332" s="1796" t="s">
        <v>609</v>
      </c>
    </row>
    <row r="333" spans="1:9" ht="11.25" customHeight="1">
      <c r="A333" s="1796" t="s">
        <v>2193</v>
      </c>
      <c r="B333" s="1796" t="s">
        <v>14</v>
      </c>
      <c r="C333" s="1796" t="s">
        <v>2372</v>
      </c>
      <c r="D333" s="1796" t="s">
        <v>2373</v>
      </c>
      <c r="E333" s="1796" t="s">
        <v>2374</v>
      </c>
      <c r="F333" s="1796" t="s">
        <v>2375</v>
      </c>
      <c r="G333" s="1796" t="s">
        <v>2376</v>
      </c>
      <c r="H333" s="1796" t="s">
        <v>18</v>
      </c>
      <c r="I333" s="1796" t="s">
        <v>609</v>
      </c>
    </row>
    <row r="334" spans="1:9" ht="11.25" customHeight="1">
      <c r="A334" s="1796" t="s">
        <v>2193</v>
      </c>
      <c r="B334" s="1796" t="s">
        <v>14</v>
      </c>
      <c r="C334" s="1796" t="s">
        <v>2393</v>
      </c>
      <c r="D334" s="1796" t="s">
        <v>2394</v>
      </c>
      <c r="E334" s="1796" t="s">
        <v>2395</v>
      </c>
      <c r="F334" s="1796" t="s">
        <v>2206</v>
      </c>
      <c r="G334" s="1796" t="s">
        <v>18</v>
      </c>
      <c r="H334" s="1796" t="s">
        <v>18</v>
      </c>
      <c r="I334" s="1796" t="s">
        <v>609</v>
      </c>
    </row>
    <row r="335" spans="1:9" ht="11.25" customHeight="1">
      <c r="A335" s="1796" t="s">
        <v>2193</v>
      </c>
      <c r="B335" s="1796" t="s">
        <v>14</v>
      </c>
      <c r="C335" s="1796" t="s">
        <v>2396</v>
      </c>
      <c r="D335" s="1796" t="s">
        <v>2397</v>
      </c>
      <c r="E335" s="1796" t="s">
        <v>2398</v>
      </c>
      <c r="F335" s="1796" t="s">
        <v>2399</v>
      </c>
      <c r="G335" s="1796" t="s">
        <v>18</v>
      </c>
      <c r="H335" s="1796" t="s">
        <v>2400</v>
      </c>
      <c r="I335" s="1796" t="s">
        <v>609</v>
      </c>
    </row>
    <row r="336" spans="1:9" ht="11.25" customHeight="1">
      <c r="A336" s="1796" t="s">
        <v>2193</v>
      </c>
      <c r="B336" s="1796" t="s">
        <v>14</v>
      </c>
      <c r="C336" s="1796" t="s">
        <v>2401</v>
      </c>
      <c r="D336" s="1796" t="s">
        <v>2402</v>
      </c>
      <c r="E336" s="1796" t="s">
        <v>2403</v>
      </c>
      <c r="F336" s="1796" t="s">
        <v>2399</v>
      </c>
      <c r="G336" s="1796" t="s">
        <v>18</v>
      </c>
      <c r="H336" s="1796" t="s">
        <v>18</v>
      </c>
      <c r="I336" s="1796" t="s">
        <v>609</v>
      </c>
    </row>
    <row r="337" spans="1:9" ht="11.25" customHeight="1">
      <c r="A337" s="1796" t="s">
        <v>2193</v>
      </c>
      <c r="B337" s="1796" t="s">
        <v>14</v>
      </c>
      <c r="C337" s="1796" t="s">
        <v>2944</v>
      </c>
      <c r="D337" s="1796" t="s">
        <v>2945</v>
      </c>
      <c r="E337" s="1796" t="s">
        <v>2946</v>
      </c>
      <c r="F337" s="1796" t="s">
        <v>2533</v>
      </c>
      <c r="G337" s="1796" t="s">
        <v>2947</v>
      </c>
      <c r="H337" s="1796" t="s">
        <v>18</v>
      </c>
      <c r="I337" s="1796" t="s">
        <v>609</v>
      </c>
    </row>
    <row r="338" spans="1:9" ht="11.25" customHeight="1">
      <c r="A338" s="1796" t="s">
        <v>2193</v>
      </c>
      <c r="B338" s="1796" t="s">
        <v>14</v>
      </c>
      <c r="C338" s="1796" t="s">
        <v>2404</v>
      </c>
      <c r="D338" s="1796" t="s">
        <v>2405</v>
      </c>
      <c r="E338" s="1796" t="s">
        <v>2406</v>
      </c>
      <c r="F338" s="1796" t="s">
        <v>2221</v>
      </c>
      <c r="G338" s="1796" t="s">
        <v>18</v>
      </c>
      <c r="H338" s="1796" t="s">
        <v>18</v>
      </c>
      <c r="I338" s="1796" t="s">
        <v>609</v>
      </c>
    </row>
    <row r="339" spans="1:9" ht="11.25" customHeight="1">
      <c r="A339" s="1796" t="s">
        <v>2193</v>
      </c>
      <c r="B339" s="1796" t="s">
        <v>14</v>
      </c>
      <c r="C339" s="1796" t="s">
        <v>2411</v>
      </c>
      <c r="D339" s="1796" t="s">
        <v>2412</v>
      </c>
      <c r="E339" s="1796" t="s">
        <v>2413</v>
      </c>
      <c r="F339" s="1796" t="s">
        <v>2221</v>
      </c>
      <c r="G339" s="1796" t="s">
        <v>18</v>
      </c>
      <c r="H339" s="1796" t="s">
        <v>18</v>
      </c>
      <c r="I339" s="1796" t="s">
        <v>609</v>
      </c>
    </row>
    <row r="340" spans="1:9" ht="11.25" customHeight="1">
      <c r="A340" s="1796" t="s">
        <v>2193</v>
      </c>
      <c r="B340" s="1796" t="s">
        <v>14</v>
      </c>
      <c r="C340" s="1796" t="s">
        <v>2414</v>
      </c>
      <c r="D340" s="1796" t="s">
        <v>2415</v>
      </c>
      <c r="E340" s="1796" t="s">
        <v>2416</v>
      </c>
      <c r="F340" s="1796" t="s">
        <v>2399</v>
      </c>
      <c r="G340" s="1796" t="s">
        <v>18</v>
      </c>
      <c r="H340" s="1796" t="s">
        <v>18</v>
      </c>
      <c r="I340" s="1796" t="s">
        <v>609</v>
      </c>
    </row>
    <row r="341" spans="1:9" ht="11.25" customHeight="1">
      <c r="A341" s="1796" t="s">
        <v>2193</v>
      </c>
      <c r="B341" s="1796" t="s">
        <v>14</v>
      </c>
      <c r="C341" s="1796" t="s">
        <v>2794</v>
      </c>
      <c r="D341" s="1796" t="s">
        <v>2795</v>
      </c>
      <c r="E341" s="1796" t="s">
        <v>2796</v>
      </c>
      <c r="F341" s="1796" t="s">
        <v>2206</v>
      </c>
      <c r="G341" s="1796" t="s">
        <v>2797</v>
      </c>
      <c r="H341" s="1796" t="s">
        <v>18</v>
      </c>
      <c r="I341" s="1796" t="s">
        <v>609</v>
      </c>
    </row>
    <row r="342" spans="1:9" ht="11.25" customHeight="1">
      <c r="A342" s="1796" t="s">
        <v>2193</v>
      </c>
      <c r="B342" s="1796" t="s">
        <v>14</v>
      </c>
      <c r="C342" s="1796" t="s">
        <v>2798</v>
      </c>
      <c r="D342" s="1796" t="s">
        <v>2799</v>
      </c>
      <c r="E342" s="1796" t="s">
        <v>2800</v>
      </c>
      <c r="F342" s="1796" t="s">
        <v>2317</v>
      </c>
      <c r="G342" s="1796" t="s">
        <v>18</v>
      </c>
      <c r="H342" s="1796" t="s">
        <v>18</v>
      </c>
      <c r="I342" s="1796" t="s">
        <v>609</v>
      </c>
    </row>
    <row r="343" spans="1:9" ht="11.25" customHeight="1">
      <c r="A343" s="1796" t="s">
        <v>2193</v>
      </c>
      <c r="B343" s="1796" t="s">
        <v>14</v>
      </c>
      <c r="C343" s="1796" t="s">
        <v>2801</v>
      </c>
      <c r="D343" s="1796" t="s">
        <v>2802</v>
      </c>
      <c r="E343" s="1796" t="s">
        <v>2803</v>
      </c>
      <c r="F343" s="1796" t="s">
        <v>2453</v>
      </c>
      <c r="G343" s="1796" t="s">
        <v>18</v>
      </c>
      <c r="H343" s="1796" t="s">
        <v>18</v>
      </c>
      <c r="I343" s="1796" t="s">
        <v>609</v>
      </c>
    </row>
    <row r="344" spans="1:9" ht="11.25" customHeight="1">
      <c r="A344" s="1796" t="s">
        <v>2193</v>
      </c>
      <c r="B344" s="1796" t="s">
        <v>14</v>
      </c>
      <c r="C344" s="1796" t="s">
        <v>2804</v>
      </c>
      <c r="D344" s="1796" t="s">
        <v>2805</v>
      </c>
      <c r="E344" s="1796" t="s">
        <v>2806</v>
      </c>
      <c r="F344" s="1796" t="s">
        <v>2399</v>
      </c>
      <c r="G344" s="1796" t="s">
        <v>2807</v>
      </c>
      <c r="H344" s="1796" t="s">
        <v>18</v>
      </c>
      <c r="I344" s="1796" t="s">
        <v>609</v>
      </c>
    </row>
    <row r="345" spans="1:9" ht="11.25" customHeight="1">
      <c r="A345" s="1796" t="s">
        <v>2193</v>
      </c>
      <c r="B345" s="1796" t="s">
        <v>14</v>
      </c>
      <c r="C345" s="1796" t="s">
        <v>2433</v>
      </c>
      <c r="D345" s="1796" t="s">
        <v>2434</v>
      </c>
      <c r="E345" s="1796" t="s">
        <v>2435</v>
      </c>
      <c r="F345" s="1796" t="s">
        <v>2211</v>
      </c>
      <c r="G345" s="1796" t="s">
        <v>18</v>
      </c>
      <c r="H345" s="1796" t="s">
        <v>18</v>
      </c>
      <c r="I345" s="1796" t="s">
        <v>609</v>
      </c>
    </row>
    <row r="346" spans="1:9" ht="11.25" customHeight="1">
      <c r="A346" s="1796" t="s">
        <v>2193</v>
      </c>
      <c r="B346" s="1796" t="s">
        <v>14</v>
      </c>
      <c r="C346" s="1796" t="s">
        <v>2436</v>
      </c>
      <c r="D346" s="1796" t="s">
        <v>2437</v>
      </c>
      <c r="E346" s="1796" t="s">
        <v>2438</v>
      </c>
      <c r="F346" s="1796" t="s">
        <v>2439</v>
      </c>
      <c r="G346" s="1796" t="s">
        <v>2440</v>
      </c>
      <c r="H346" s="1796" t="s">
        <v>18</v>
      </c>
      <c r="I346" s="1796" t="s">
        <v>609</v>
      </c>
    </row>
    <row r="347" spans="1:9" ht="11.25" customHeight="1">
      <c r="A347" s="1796" t="s">
        <v>2193</v>
      </c>
      <c r="B347" s="1796" t="s">
        <v>14</v>
      </c>
      <c r="C347" s="1796" t="s">
        <v>2441</v>
      </c>
      <c r="D347" s="1796" t="s">
        <v>2442</v>
      </c>
      <c r="E347" s="1796" t="s">
        <v>2443</v>
      </c>
      <c r="F347" s="1796" t="s">
        <v>2444</v>
      </c>
      <c r="G347" s="1796" t="s">
        <v>18</v>
      </c>
      <c r="H347" s="1796" t="s">
        <v>18</v>
      </c>
      <c r="I347" s="1796" t="s">
        <v>609</v>
      </c>
    </row>
    <row r="348" spans="1:9" ht="11.25" customHeight="1">
      <c r="A348" s="1796" t="s">
        <v>2193</v>
      </c>
      <c r="B348" s="1796" t="s">
        <v>14</v>
      </c>
      <c r="C348" s="1796" t="s">
        <v>2445</v>
      </c>
      <c r="D348" s="1796" t="s">
        <v>2446</v>
      </c>
      <c r="E348" s="1796" t="s">
        <v>2447</v>
      </c>
      <c r="F348" s="1796" t="s">
        <v>2448</v>
      </c>
      <c r="G348" s="1796" t="s">
        <v>2449</v>
      </c>
      <c r="H348" s="1796" t="s">
        <v>18</v>
      </c>
      <c r="I348" s="1796" t="s">
        <v>609</v>
      </c>
    </row>
    <row r="349" spans="1:9" ht="11.25" customHeight="1">
      <c r="A349" s="1796" t="s">
        <v>2193</v>
      </c>
      <c r="B349" s="1796" t="s">
        <v>14</v>
      </c>
      <c r="C349" s="1796" t="s">
        <v>2808</v>
      </c>
      <c r="D349" s="1796" t="s">
        <v>2809</v>
      </c>
      <c r="E349" s="1796" t="s">
        <v>2810</v>
      </c>
      <c r="F349" s="1796" t="s">
        <v>2206</v>
      </c>
      <c r="G349" s="1796" t="s">
        <v>2811</v>
      </c>
      <c r="H349" s="1796" t="s">
        <v>18</v>
      </c>
      <c r="I349" s="1796" t="s">
        <v>609</v>
      </c>
    </row>
    <row r="350" spans="1:9" ht="11.25" customHeight="1">
      <c r="A350" s="1796" t="s">
        <v>2193</v>
      </c>
      <c r="B350" s="1796" t="s">
        <v>14</v>
      </c>
      <c r="C350" s="1796" t="s">
        <v>2450</v>
      </c>
      <c r="D350" s="1796" t="s">
        <v>2451</v>
      </c>
      <c r="E350" s="1796" t="s">
        <v>2452</v>
      </c>
      <c r="F350" s="1796" t="s">
        <v>2453</v>
      </c>
      <c r="G350" s="1796" t="s">
        <v>2454</v>
      </c>
      <c r="H350" s="1796" t="s">
        <v>18</v>
      </c>
      <c r="I350" s="1796" t="s">
        <v>609</v>
      </c>
    </row>
    <row r="351" spans="1:9" ht="11.25" customHeight="1">
      <c r="A351" s="1796" t="s">
        <v>2193</v>
      </c>
      <c r="B351" s="1796" t="s">
        <v>14</v>
      </c>
      <c r="C351" s="1796" t="s">
        <v>2462</v>
      </c>
      <c r="D351" s="1796" t="s">
        <v>2463</v>
      </c>
      <c r="E351" s="1796" t="s">
        <v>2464</v>
      </c>
      <c r="F351" s="1796" t="s">
        <v>2216</v>
      </c>
      <c r="G351" s="1796" t="s">
        <v>2465</v>
      </c>
      <c r="H351" s="1796" t="s">
        <v>18</v>
      </c>
      <c r="I351" s="1796" t="s">
        <v>609</v>
      </c>
    </row>
    <row r="352" spans="1:9" ht="11.25" customHeight="1">
      <c r="A352" s="1796" t="s">
        <v>2193</v>
      </c>
      <c r="B352" s="1796" t="s">
        <v>14</v>
      </c>
      <c r="C352" s="1796" t="s">
        <v>2466</v>
      </c>
      <c r="D352" s="1796" t="s">
        <v>2467</v>
      </c>
      <c r="E352" s="1796" t="s">
        <v>2468</v>
      </c>
      <c r="F352" s="1796" t="s">
        <v>2469</v>
      </c>
      <c r="G352" s="1796" t="s">
        <v>2470</v>
      </c>
      <c r="H352" s="1796" t="s">
        <v>18</v>
      </c>
      <c r="I352" s="1796" t="s">
        <v>609</v>
      </c>
    </row>
    <row r="353" spans="1:9" ht="11.25" customHeight="1">
      <c r="A353" s="1796" t="s">
        <v>2193</v>
      </c>
      <c r="B353" s="1796" t="s">
        <v>14</v>
      </c>
      <c r="C353" s="1796" t="s">
        <v>2471</v>
      </c>
      <c r="D353" s="1796" t="s">
        <v>2472</v>
      </c>
      <c r="E353" s="1796" t="s">
        <v>2473</v>
      </c>
      <c r="F353" s="1796" t="s">
        <v>2358</v>
      </c>
      <c r="G353" s="1796" t="s">
        <v>2474</v>
      </c>
      <c r="H353" s="1796" t="s">
        <v>18</v>
      </c>
      <c r="I353" s="1796" t="s">
        <v>609</v>
      </c>
    </row>
    <row r="354" spans="1:9" ht="11.25" customHeight="1">
      <c r="A354" s="1796" t="s">
        <v>2193</v>
      </c>
      <c r="B354" s="1796" t="s">
        <v>14</v>
      </c>
      <c r="C354" s="1796" t="s">
        <v>2812</v>
      </c>
      <c r="D354" s="1796" t="s">
        <v>2813</v>
      </c>
      <c r="E354" s="1796" t="s">
        <v>2814</v>
      </c>
      <c r="F354" s="1796" t="s">
        <v>2420</v>
      </c>
      <c r="G354" s="1796" t="s">
        <v>18</v>
      </c>
      <c r="H354" s="1796" t="s">
        <v>18</v>
      </c>
      <c r="I354" s="1796" t="s">
        <v>609</v>
      </c>
    </row>
    <row r="355" spans="1:9" ht="11.25" customHeight="1">
      <c r="A355" s="1796" t="s">
        <v>2193</v>
      </c>
      <c r="B355" s="1796" t="s">
        <v>14</v>
      </c>
      <c r="C355" s="1796" t="s">
        <v>2815</v>
      </c>
      <c r="D355" s="1796" t="s">
        <v>2816</v>
      </c>
      <c r="E355" s="1796" t="s">
        <v>2817</v>
      </c>
      <c r="F355" s="1796" t="s">
        <v>2239</v>
      </c>
      <c r="G355" s="1796" t="s">
        <v>2818</v>
      </c>
      <c r="H355" s="1796" t="s">
        <v>18</v>
      </c>
      <c r="I355" s="1796" t="s">
        <v>609</v>
      </c>
    </row>
    <row r="356" spans="1:9" ht="11.25" customHeight="1">
      <c r="A356" s="1796" t="s">
        <v>2193</v>
      </c>
      <c r="B356" s="1796" t="s">
        <v>14</v>
      </c>
      <c r="C356" s="1796" t="s">
        <v>2822</v>
      </c>
      <c r="D356" s="1796" t="s">
        <v>2823</v>
      </c>
      <c r="E356" s="1796" t="s">
        <v>2824</v>
      </c>
      <c r="F356" s="1796" t="s">
        <v>2640</v>
      </c>
      <c r="G356" s="1796" t="s">
        <v>2825</v>
      </c>
      <c r="H356" s="1796" t="s">
        <v>18</v>
      </c>
      <c r="I356" s="1796" t="s">
        <v>609</v>
      </c>
    </row>
    <row r="357" spans="1:9" ht="11.25" customHeight="1">
      <c r="A357" s="1796" t="s">
        <v>2193</v>
      </c>
      <c r="B357" s="1796" t="s">
        <v>14</v>
      </c>
      <c r="C357" s="1796" t="s">
        <v>2518</v>
      </c>
      <c r="D357" s="1796" t="s">
        <v>2519</v>
      </c>
      <c r="E357" s="1796" t="s">
        <v>2520</v>
      </c>
      <c r="F357" s="1796" t="s">
        <v>2206</v>
      </c>
      <c r="G357" s="1796" t="s">
        <v>2521</v>
      </c>
      <c r="H357" s="1796" t="s">
        <v>18</v>
      </c>
      <c r="I357" s="1796" t="s">
        <v>609</v>
      </c>
    </row>
    <row r="358" spans="1:9" ht="11.25" customHeight="1">
      <c r="A358" s="1796" t="s">
        <v>2193</v>
      </c>
      <c r="B358" s="1796" t="s">
        <v>14</v>
      </c>
      <c r="C358" s="1796" t="s">
        <v>2826</v>
      </c>
      <c r="D358" s="1796" t="s">
        <v>2827</v>
      </c>
      <c r="E358" s="1796" t="s">
        <v>2828</v>
      </c>
      <c r="F358" s="1796" t="s">
        <v>2239</v>
      </c>
      <c r="G358" s="1796" t="s">
        <v>2829</v>
      </c>
      <c r="H358" s="1796" t="s">
        <v>18</v>
      </c>
      <c r="I358" s="1796" t="s">
        <v>609</v>
      </c>
    </row>
    <row r="359" spans="1:9" ht="11.25" customHeight="1">
      <c r="A359" s="1796" t="s">
        <v>2193</v>
      </c>
      <c r="B359" s="1796" t="s">
        <v>14</v>
      </c>
      <c r="C359" s="1796" t="s">
        <v>2830</v>
      </c>
      <c r="D359" s="1796" t="s">
        <v>2831</v>
      </c>
      <c r="E359" s="1796" t="s">
        <v>2832</v>
      </c>
      <c r="F359" s="1796" t="s">
        <v>2675</v>
      </c>
      <c r="G359" s="1796" t="s">
        <v>18</v>
      </c>
      <c r="H359" s="1796" t="s">
        <v>18</v>
      </c>
      <c r="I359" s="1796" t="s">
        <v>609</v>
      </c>
    </row>
    <row r="360" spans="1:9" ht="11.25" customHeight="1">
      <c r="A360" s="1796" t="s">
        <v>2193</v>
      </c>
      <c r="B360" s="1796" t="s">
        <v>14</v>
      </c>
      <c r="C360" s="1796" t="s">
        <v>2833</v>
      </c>
      <c r="D360" s="1796" t="s">
        <v>2834</v>
      </c>
      <c r="E360" s="1796" t="s">
        <v>2835</v>
      </c>
      <c r="F360" s="1796" t="s">
        <v>2239</v>
      </c>
      <c r="G360" s="1796" t="s">
        <v>18</v>
      </c>
      <c r="H360" s="1796" t="s">
        <v>18</v>
      </c>
      <c r="I360" s="1796" t="s">
        <v>609</v>
      </c>
    </row>
    <row r="361" spans="1:9" ht="11.25" customHeight="1">
      <c r="A361" s="1796" t="s">
        <v>2193</v>
      </c>
      <c r="B361" s="1796" t="s">
        <v>14</v>
      </c>
      <c r="C361" s="1796" t="s">
        <v>2541</v>
      </c>
      <c r="D361" s="1796" t="s">
        <v>2542</v>
      </c>
      <c r="E361" s="1796" t="s">
        <v>2543</v>
      </c>
      <c r="F361" s="1796" t="s">
        <v>2448</v>
      </c>
      <c r="G361" s="1796" t="s">
        <v>2544</v>
      </c>
      <c r="H361" s="1796" t="s">
        <v>18</v>
      </c>
      <c r="I361" s="1796" t="s">
        <v>609</v>
      </c>
    </row>
    <row r="362" spans="1:9" ht="11.25" customHeight="1">
      <c r="A362" s="1796" t="s">
        <v>2193</v>
      </c>
      <c r="B362" s="1796" t="s">
        <v>14</v>
      </c>
      <c r="C362" s="1796" t="s">
        <v>2948</v>
      </c>
      <c r="D362" s="1796" t="s">
        <v>2949</v>
      </c>
      <c r="E362" s="1796" t="s">
        <v>2950</v>
      </c>
      <c r="F362" s="1796" t="s">
        <v>2239</v>
      </c>
      <c r="G362" s="1796" t="s">
        <v>18</v>
      </c>
      <c r="H362" s="1796" t="s">
        <v>18</v>
      </c>
      <c r="I362" s="1796" t="s">
        <v>609</v>
      </c>
    </row>
    <row r="363" spans="1:9" ht="11.25" customHeight="1">
      <c r="A363" s="1796" t="s">
        <v>2193</v>
      </c>
      <c r="B363" s="1796" t="s">
        <v>14</v>
      </c>
      <c r="C363" s="1796" t="s">
        <v>2844</v>
      </c>
      <c r="D363" s="1796" t="s">
        <v>2845</v>
      </c>
      <c r="E363" s="1796" t="s">
        <v>2846</v>
      </c>
      <c r="F363" s="1796" t="s">
        <v>2281</v>
      </c>
      <c r="G363" s="1796" t="s">
        <v>18</v>
      </c>
      <c r="H363" s="1796" t="s">
        <v>18</v>
      </c>
      <c r="I363" s="1796" t="s">
        <v>609</v>
      </c>
    </row>
    <row r="364" spans="1:9" ht="11.25" customHeight="1">
      <c r="A364" s="1796" t="s">
        <v>2193</v>
      </c>
      <c r="B364" s="1796" t="s">
        <v>14</v>
      </c>
      <c r="C364" s="1796" t="s">
        <v>2545</v>
      </c>
      <c r="D364" s="1796" t="s">
        <v>2546</v>
      </c>
      <c r="E364" s="1796" t="s">
        <v>2547</v>
      </c>
      <c r="F364" s="1796" t="s">
        <v>2444</v>
      </c>
      <c r="G364" s="1796" t="s">
        <v>2548</v>
      </c>
      <c r="H364" s="1796" t="s">
        <v>18</v>
      </c>
      <c r="I364" s="1796" t="s">
        <v>609</v>
      </c>
    </row>
    <row r="365" spans="1:9" ht="11.25" customHeight="1">
      <c r="A365" s="1796" t="s">
        <v>2193</v>
      </c>
      <c r="B365" s="1796" t="s">
        <v>14</v>
      </c>
      <c r="C365" s="1796" t="s">
        <v>2855</v>
      </c>
      <c r="D365" s="1796" t="s">
        <v>2856</v>
      </c>
      <c r="E365" s="1796" t="s">
        <v>2857</v>
      </c>
      <c r="F365" s="1796" t="s">
        <v>2239</v>
      </c>
      <c r="G365" s="1796" t="s">
        <v>2858</v>
      </c>
      <c r="H365" s="1796" t="s">
        <v>18</v>
      </c>
      <c r="I365" s="1796" t="s">
        <v>609</v>
      </c>
    </row>
    <row r="366" spans="1:9" ht="11.25" customHeight="1">
      <c r="A366" s="1796" t="s">
        <v>2193</v>
      </c>
      <c r="B366" s="1796" t="s">
        <v>14</v>
      </c>
      <c r="C366" s="1796" t="s">
        <v>2561</v>
      </c>
      <c r="D366" s="1796" t="s">
        <v>2562</v>
      </c>
      <c r="E366" s="1796" t="s">
        <v>2563</v>
      </c>
      <c r="F366" s="1796" t="s">
        <v>2330</v>
      </c>
      <c r="G366" s="1796" t="s">
        <v>18</v>
      </c>
      <c r="H366" s="1796" t="s">
        <v>18</v>
      </c>
      <c r="I366" s="1796" t="s">
        <v>609</v>
      </c>
    </row>
    <row r="367" spans="1:9" ht="11.25" customHeight="1">
      <c r="A367" s="1796" t="s">
        <v>2193</v>
      </c>
      <c r="B367" s="1796" t="s">
        <v>14</v>
      </c>
      <c r="C367" s="1796" t="s">
        <v>2564</v>
      </c>
      <c r="D367" s="1796" t="s">
        <v>2565</v>
      </c>
      <c r="E367" s="1796" t="s">
        <v>2566</v>
      </c>
      <c r="F367" s="1796" t="s">
        <v>2239</v>
      </c>
      <c r="G367" s="1796" t="s">
        <v>2567</v>
      </c>
      <c r="H367" s="1796" t="s">
        <v>18</v>
      </c>
      <c r="I367" s="1796" t="s">
        <v>609</v>
      </c>
    </row>
    <row r="368" spans="1:9" ht="11.25" customHeight="1">
      <c r="A368" s="1796" t="s">
        <v>2193</v>
      </c>
      <c r="B368" s="1796" t="s">
        <v>14</v>
      </c>
      <c r="C368" s="1796" t="s">
        <v>2579</v>
      </c>
      <c r="D368" s="1796" t="s">
        <v>2576</v>
      </c>
      <c r="E368" s="1796" t="s">
        <v>2577</v>
      </c>
      <c r="F368" s="1796" t="s">
        <v>2216</v>
      </c>
      <c r="G368" s="1796" t="s">
        <v>18</v>
      </c>
      <c r="H368" s="1796" t="s">
        <v>18</v>
      </c>
      <c r="I368" s="1796" t="s">
        <v>609</v>
      </c>
    </row>
    <row r="369" spans="1:9" ht="11.25" customHeight="1">
      <c r="A369" s="1796" t="s">
        <v>2193</v>
      </c>
      <c r="B369" s="1796" t="s">
        <v>14</v>
      </c>
      <c r="C369" s="1796" t="s">
        <v>2862</v>
      </c>
      <c r="D369" s="1796" t="s">
        <v>2863</v>
      </c>
      <c r="E369" s="1796" t="s">
        <v>2864</v>
      </c>
      <c r="F369" s="1796" t="s">
        <v>2239</v>
      </c>
      <c r="G369" s="1796" t="s">
        <v>2865</v>
      </c>
      <c r="H369" s="1796" t="s">
        <v>18</v>
      </c>
      <c r="I369" s="1796" t="s">
        <v>609</v>
      </c>
    </row>
    <row r="370" spans="1:9" ht="11.25" customHeight="1">
      <c r="A370" s="1796" t="s">
        <v>2193</v>
      </c>
      <c r="B370" s="1796" t="s">
        <v>14</v>
      </c>
      <c r="C370" s="1796" t="s">
        <v>2951</v>
      </c>
      <c r="D370" s="1796" t="s">
        <v>2952</v>
      </c>
      <c r="E370" s="1796" t="s">
        <v>2953</v>
      </c>
      <c r="F370" s="1796" t="s">
        <v>2239</v>
      </c>
      <c r="G370" s="1796" t="s">
        <v>18</v>
      </c>
      <c r="H370" s="1796" t="s">
        <v>18</v>
      </c>
      <c r="I370" s="1796" t="s">
        <v>609</v>
      </c>
    </row>
    <row r="371" spans="1:9" ht="11.25" customHeight="1">
      <c r="A371" s="1796" t="s">
        <v>2193</v>
      </c>
      <c r="B371" s="1796" t="s">
        <v>14</v>
      </c>
      <c r="C371" s="1796" t="s">
        <v>2954</v>
      </c>
      <c r="D371" s="1796" t="s">
        <v>2955</v>
      </c>
      <c r="E371" s="1796" t="s">
        <v>2956</v>
      </c>
      <c r="F371" s="1796" t="s">
        <v>2221</v>
      </c>
      <c r="G371" s="1796" t="s">
        <v>2957</v>
      </c>
      <c r="H371" s="1796" t="s">
        <v>18</v>
      </c>
      <c r="I371" s="1796" t="s">
        <v>609</v>
      </c>
    </row>
    <row r="372" spans="1:9" ht="11.25" customHeight="1">
      <c r="A372" s="1796" t="s">
        <v>2193</v>
      </c>
      <c r="B372" s="1796" t="s">
        <v>14</v>
      </c>
      <c r="C372" s="1796" t="s">
        <v>2659</v>
      </c>
      <c r="D372" s="1796" t="s">
        <v>2660</v>
      </c>
      <c r="E372" s="1796" t="s">
        <v>2661</v>
      </c>
      <c r="F372" s="1796" t="s">
        <v>2261</v>
      </c>
      <c r="G372" s="1796" t="s">
        <v>18</v>
      </c>
      <c r="H372" s="1796" t="s">
        <v>18</v>
      </c>
      <c r="I372" s="1796" t="s">
        <v>609</v>
      </c>
    </row>
    <row r="373" spans="1:9" ht="11.25" customHeight="1">
      <c r="A373" s="1796" t="s">
        <v>2193</v>
      </c>
      <c r="B373" s="1796" t="s">
        <v>14</v>
      </c>
      <c r="C373" s="1796" t="s">
        <v>2666</v>
      </c>
      <c r="D373" s="1796" t="s">
        <v>2667</v>
      </c>
      <c r="E373" s="1796" t="s">
        <v>2668</v>
      </c>
      <c r="F373" s="1796" t="s">
        <v>2206</v>
      </c>
      <c r="G373" s="1796" t="s">
        <v>18</v>
      </c>
      <c r="H373" s="1796" t="s">
        <v>18</v>
      </c>
      <c r="I373" s="1796" t="s">
        <v>609</v>
      </c>
    </row>
    <row r="374" spans="1:9" ht="11.25" customHeight="1">
      <c r="A374" s="1796" t="s">
        <v>2193</v>
      </c>
      <c r="B374" s="1796" t="s">
        <v>14</v>
      </c>
      <c r="C374" s="1796" t="s">
        <v>2672</v>
      </c>
      <c r="D374" s="1796" t="s">
        <v>2673</v>
      </c>
      <c r="E374" s="1796" t="s">
        <v>2674</v>
      </c>
      <c r="F374" s="1796" t="s">
        <v>2675</v>
      </c>
      <c r="G374" s="1796" t="s">
        <v>2676</v>
      </c>
      <c r="H374" s="1796" t="s">
        <v>18</v>
      </c>
      <c r="I374" s="1796" t="s">
        <v>609</v>
      </c>
    </row>
    <row r="375" spans="1:9" ht="11.25" customHeight="1">
      <c r="A375" s="1796" t="s">
        <v>2193</v>
      </c>
      <c r="B375" s="1796" t="s">
        <v>14</v>
      </c>
      <c r="C375" s="1796" t="s">
        <v>2866</v>
      </c>
      <c r="D375" s="1796" t="s">
        <v>2867</v>
      </c>
      <c r="E375" s="1796" t="s">
        <v>2868</v>
      </c>
      <c r="F375" s="1796" t="s">
        <v>2221</v>
      </c>
      <c r="G375" s="1796" t="s">
        <v>2869</v>
      </c>
      <c r="H375" s="1796" t="s">
        <v>18</v>
      </c>
      <c r="I375" s="1796" t="s">
        <v>609</v>
      </c>
    </row>
    <row r="376" spans="1:9" ht="11.25" customHeight="1">
      <c r="A376" s="1796" t="s">
        <v>2193</v>
      </c>
      <c r="B376" s="1796" t="s">
        <v>14</v>
      </c>
      <c r="C376" s="1796" t="s">
        <v>2699</v>
      </c>
      <c r="D376" s="1796" t="s">
        <v>2700</v>
      </c>
      <c r="E376" s="1796" t="s">
        <v>2701</v>
      </c>
      <c r="F376" s="1796" t="s">
        <v>2221</v>
      </c>
      <c r="G376" s="1796" t="s">
        <v>18</v>
      </c>
      <c r="H376" s="1796" t="s">
        <v>18</v>
      </c>
      <c r="I376" s="1796" t="s">
        <v>609</v>
      </c>
    </row>
    <row r="377" spans="1:9" ht="11.25" customHeight="1">
      <c r="A377" s="1796" t="s">
        <v>2193</v>
      </c>
      <c r="B377" s="1796" t="s">
        <v>14</v>
      </c>
      <c r="C377" s="1796" t="s">
        <v>2719</v>
      </c>
      <c r="D377" s="1796" t="s">
        <v>2720</v>
      </c>
      <c r="E377" s="1796" t="s">
        <v>2721</v>
      </c>
      <c r="F377" s="1796" t="s">
        <v>2239</v>
      </c>
      <c r="G377" s="1796" t="s">
        <v>18</v>
      </c>
      <c r="H377" s="1796" t="s">
        <v>18</v>
      </c>
      <c r="I377" s="1796" t="s">
        <v>609</v>
      </c>
    </row>
    <row r="378" spans="1:9" ht="11.25" customHeight="1">
      <c r="A378" s="1796" t="s">
        <v>2193</v>
      </c>
      <c r="B378" s="1796" t="s">
        <v>14</v>
      </c>
      <c r="C378" s="1796" t="s">
        <v>2918</v>
      </c>
      <c r="D378" s="1796" t="s">
        <v>2919</v>
      </c>
      <c r="E378" s="1796" t="s">
        <v>2920</v>
      </c>
      <c r="F378" s="1796" t="s">
        <v>2399</v>
      </c>
      <c r="G378" s="1796" t="s">
        <v>18</v>
      </c>
      <c r="H378" s="1796" t="s">
        <v>18</v>
      </c>
      <c r="I378" s="1796" t="s">
        <v>609</v>
      </c>
    </row>
    <row r="379" spans="1:9" ht="11.25" customHeight="1">
      <c r="A379" s="1796" t="s">
        <v>2193</v>
      </c>
      <c r="B379" s="1796" t="s">
        <v>14</v>
      </c>
      <c r="C379" s="1796" t="s">
        <v>2928</v>
      </c>
      <c r="D379" s="1796" t="s">
        <v>2929</v>
      </c>
      <c r="E379" s="1796" t="s">
        <v>2930</v>
      </c>
      <c r="F379" s="1796" t="s">
        <v>2221</v>
      </c>
      <c r="G379" s="1796" t="s">
        <v>18</v>
      </c>
      <c r="H379" s="1796" t="s">
        <v>18</v>
      </c>
      <c r="I379" s="1796" t="s">
        <v>609</v>
      </c>
    </row>
    <row r="380" spans="1:9" ht="11.25" customHeight="1">
      <c r="A380" s="1796" t="s">
        <v>2193</v>
      </c>
      <c r="B380" s="1796" t="s">
        <v>14</v>
      </c>
      <c r="C380" s="1796" t="s">
        <v>2931</v>
      </c>
      <c r="D380" s="1796" t="s">
        <v>2932</v>
      </c>
      <c r="E380" s="1796" t="s">
        <v>2933</v>
      </c>
      <c r="F380" s="1796" t="s">
        <v>2934</v>
      </c>
      <c r="G380" s="1796" t="s">
        <v>2935</v>
      </c>
      <c r="H380" s="1796" t="s">
        <v>18</v>
      </c>
      <c r="I380" s="1796" t="s">
        <v>609</v>
      </c>
    </row>
    <row r="381" spans="1:9" ht="11.25" customHeight="1">
      <c r="A381" s="1796" t="s">
        <v>2193</v>
      </c>
      <c r="B381" s="1796" t="s">
        <v>14</v>
      </c>
      <c r="C381" s="1796" t="s">
        <v>2735</v>
      </c>
      <c r="D381" s="1796" t="s">
        <v>2736</v>
      </c>
      <c r="E381" s="1796" t="s">
        <v>2737</v>
      </c>
      <c r="F381" s="1796" t="s">
        <v>2738</v>
      </c>
      <c r="G381" s="1796" t="s">
        <v>18</v>
      </c>
      <c r="H381" s="1796" t="s">
        <v>18</v>
      </c>
      <c r="I381" s="1796" t="s">
        <v>609</v>
      </c>
    </row>
    <row r="382" spans="1:9" ht="11.25" customHeight="1">
      <c r="A382" s="1796" t="s">
        <v>2193</v>
      </c>
      <c r="B382" s="1796" t="s">
        <v>14</v>
      </c>
      <c r="C382" s="1796" t="s">
        <v>2742</v>
      </c>
      <c r="D382" s="1796" t="s">
        <v>2743</v>
      </c>
      <c r="E382" s="1796" t="s">
        <v>2744</v>
      </c>
      <c r="F382" s="1796" t="s">
        <v>2439</v>
      </c>
      <c r="G382" s="1796" t="s">
        <v>2745</v>
      </c>
      <c r="H382" s="1796" t="s">
        <v>18</v>
      </c>
      <c r="I382" s="1796" t="s">
        <v>609</v>
      </c>
    </row>
    <row r="383" spans="1:9" ht="11.25" customHeight="1">
      <c r="A383" s="1796" t="s">
        <v>2193</v>
      </c>
      <c r="B383" s="1796" t="s">
        <v>14</v>
      </c>
      <c r="C383" s="1796" t="s">
        <v>2749</v>
      </c>
      <c r="D383" s="1796" t="s">
        <v>2750</v>
      </c>
      <c r="E383" s="1796" t="s">
        <v>2751</v>
      </c>
      <c r="F383" s="1796" t="s">
        <v>2752</v>
      </c>
      <c r="G383" s="1796" t="s">
        <v>18</v>
      </c>
      <c r="H383" s="1796" t="s">
        <v>18</v>
      </c>
      <c r="I383" s="1796" t="s">
        <v>609</v>
      </c>
    </row>
    <row r="384" spans="1:9" ht="11.25" customHeight="1">
      <c r="A384" s="1796" t="s">
        <v>2193</v>
      </c>
      <c r="B384" s="1796" t="s">
        <v>14</v>
      </c>
      <c r="C384" s="1796" t="s">
        <v>18</v>
      </c>
      <c r="D384" s="1796" t="s">
        <v>2246</v>
      </c>
      <c r="E384" s="1796" t="s">
        <v>2247</v>
      </c>
      <c r="F384" s="1796" t="s">
        <v>2239</v>
      </c>
      <c r="G384" s="1796" t="s">
        <v>18</v>
      </c>
      <c r="H384" s="1796" t="s">
        <v>18</v>
      </c>
      <c r="I384" s="1796" t="s">
        <v>1028</v>
      </c>
    </row>
    <row r="385" spans="1:9" ht="11.25" customHeight="1">
      <c r="A385" s="1796" t="s">
        <v>2193</v>
      </c>
      <c r="B385" s="1796" t="s">
        <v>14</v>
      </c>
      <c r="C385" s="1796" t="s">
        <v>2958</v>
      </c>
      <c r="D385" s="1796" t="s">
        <v>2959</v>
      </c>
      <c r="E385" s="1796" t="s">
        <v>2960</v>
      </c>
      <c r="F385" s="1796" t="s">
        <v>2211</v>
      </c>
      <c r="G385" s="1796" t="s">
        <v>2961</v>
      </c>
      <c r="H385" s="1796" t="s">
        <v>18</v>
      </c>
      <c r="I385" s="1796" t="s">
        <v>1028</v>
      </c>
    </row>
    <row r="386" spans="1:9" ht="11.25" customHeight="1">
      <c r="A386" s="1796" t="s">
        <v>2193</v>
      </c>
      <c r="B386" s="1796" t="s">
        <v>14</v>
      </c>
      <c r="C386" s="1796" t="s">
        <v>2962</v>
      </c>
      <c r="D386" s="1796" t="s">
        <v>2963</v>
      </c>
      <c r="E386" s="1796" t="s">
        <v>2964</v>
      </c>
      <c r="F386" s="1796" t="s">
        <v>2231</v>
      </c>
      <c r="G386" s="1796" t="s">
        <v>18</v>
      </c>
      <c r="H386" s="1796" t="s">
        <v>18</v>
      </c>
      <c r="I386" s="1796" t="s">
        <v>1028</v>
      </c>
    </row>
    <row r="387" spans="1:9" ht="11.25" customHeight="1">
      <c r="A387" s="1796" t="s">
        <v>2193</v>
      </c>
      <c r="B387" s="1796" t="s">
        <v>14</v>
      </c>
      <c r="C387" s="1796" t="s">
        <v>2801</v>
      </c>
      <c r="D387" s="1796" t="s">
        <v>2802</v>
      </c>
      <c r="E387" s="1796" t="s">
        <v>2803</v>
      </c>
      <c r="F387" s="1796" t="s">
        <v>2453</v>
      </c>
      <c r="G387" s="1796" t="s">
        <v>18</v>
      </c>
      <c r="H387" s="1796" t="s">
        <v>18</v>
      </c>
      <c r="I387" s="1796" t="s">
        <v>1028</v>
      </c>
    </row>
    <row r="388" spans="1:9" ht="11.25" customHeight="1">
      <c r="A388" s="1796" t="s">
        <v>2193</v>
      </c>
      <c r="B388" s="1796" t="s">
        <v>14</v>
      </c>
      <c r="C388" s="1796" t="s">
        <v>2965</v>
      </c>
      <c r="D388" s="1796" t="s">
        <v>2966</v>
      </c>
      <c r="E388" s="1796" t="s">
        <v>2967</v>
      </c>
      <c r="F388" s="1796" t="s">
        <v>2912</v>
      </c>
      <c r="G388" s="1796" t="s">
        <v>2968</v>
      </c>
      <c r="H388" s="1796" t="s">
        <v>18</v>
      </c>
      <c r="I388" s="1796" t="s">
        <v>1028</v>
      </c>
    </row>
    <row r="389" spans="1:9" ht="11.25" customHeight="1">
      <c r="A389" s="1796" t="s">
        <v>2193</v>
      </c>
      <c r="B389" s="1796" t="s">
        <v>14</v>
      </c>
      <c r="C389" s="1796" t="s">
        <v>2969</v>
      </c>
      <c r="D389" s="1796" t="s">
        <v>2970</v>
      </c>
      <c r="E389" s="1796" t="s">
        <v>2971</v>
      </c>
      <c r="F389" s="1796" t="s">
        <v>2239</v>
      </c>
      <c r="G389" s="1796" t="s">
        <v>2972</v>
      </c>
      <c r="H389" s="1796" t="s">
        <v>18</v>
      </c>
      <c r="I389" s="1796" t="s">
        <v>1028</v>
      </c>
    </row>
    <row r="390" spans="1:9" ht="11.25" customHeight="1">
      <c r="A390" s="1796" t="s">
        <v>2193</v>
      </c>
      <c r="B390" s="1796" t="s">
        <v>14</v>
      </c>
      <c r="C390" s="1796" t="s">
        <v>2561</v>
      </c>
      <c r="D390" s="1796" t="s">
        <v>2562</v>
      </c>
      <c r="E390" s="1796" t="s">
        <v>2563</v>
      </c>
      <c r="F390" s="1796" t="s">
        <v>2330</v>
      </c>
      <c r="G390" s="1796" t="s">
        <v>18</v>
      </c>
      <c r="H390" s="1796" t="s">
        <v>18</v>
      </c>
      <c r="I390" s="1796" t="s">
        <v>1028</v>
      </c>
    </row>
    <row r="391" spans="1:9" ht="11.25" customHeight="1">
      <c r="A391" s="1796" t="s">
        <v>2193</v>
      </c>
      <c r="B391" s="1796" t="s">
        <v>14</v>
      </c>
      <c r="C391" s="1796" t="s">
        <v>2973</v>
      </c>
      <c r="D391" s="1796" t="s">
        <v>2974</v>
      </c>
      <c r="E391" s="1796" t="s">
        <v>2975</v>
      </c>
      <c r="F391" s="1796" t="s">
        <v>2202</v>
      </c>
      <c r="G391" s="1796" t="s">
        <v>2976</v>
      </c>
      <c r="H391" s="1796" t="s">
        <v>18</v>
      </c>
      <c r="I391" s="1796" t="s">
        <v>1028</v>
      </c>
    </row>
    <row r="392" spans="1:9" ht="11.25" customHeight="1">
      <c r="A392" s="1796" t="s">
        <v>2193</v>
      </c>
      <c r="B392" s="1796" t="s">
        <v>14</v>
      </c>
      <c r="C392" s="1796" t="s">
        <v>2977</v>
      </c>
      <c r="D392" s="1796" t="s">
        <v>2978</v>
      </c>
      <c r="E392" s="1796" t="s">
        <v>2979</v>
      </c>
      <c r="F392" s="1796" t="s">
        <v>2448</v>
      </c>
      <c r="G392" s="1796" t="s">
        <v>2980</v>
      </c>
      <c r="H392" s="1796" t="s">
        <v>18</v>
      </c>
      <c r="I392" s="1796" t="s">
        <v>1028</v>
      </c>
    </row>
    <row r="393" spans="1:9" ht="11.25" customHeight="1">
      <c r="A393" s="1796" t="s">
        <v>2193</v>
      </c>
      <c r="B393" s="1796" t="s">
        <v>14</v>
      </c>
      <c r="C393" s="1796" t="s">
        <v>2981</v>
      </c>
      <c r="D393" s="1796" t="s">
        <v>2982</v>
      </c>
      <c r="E393" s="1796" t="s">
        <v>2983</v>
      </c>
      <c r="F393" s="1796" t="s">
        <v>2239</v>
      </c>
      <c r="G393" s="1796" t="s">
        <v>2984</v>
      </c>
      <c r="H393" s="1796" t="s">
        <v>18</v>
      </c>
      <c r="I393" s="1796" t="s">
        <v>1028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96"/>
  </cols>
  <sheetData>
    <row r="1" spans="1:7" ht="11.25" customHeight="1">
      <c r="A1" t="s">
        <v>2985</v>
      </c>
      <c r="B1" t="s">
        <v>2986</v>
      </c>
      <c r="C1" t="s">
        <v>2987</v>
      </c>
      <c r="D1" t="s">
        <v>2988</v>
      </c>
      <c r="E1" t="s">
        <v>2989</v>
      </c>
      <c r="F1" t="s">
        <v>2990</v>
      </c>
      <c r="G1" t="s">
        <v>2991</v>
      </c>
    </row>
    <row r="2" spans="1:7" ht="11.25" customHeight="1">
      <c r="A2" t="s">
        <v>14</v>
      </c>
      <c r="B2" t="s">
        <v>2992</v>
      </c>
      <c r="C2" t="s">
        <v>2993</v>
      </c>
      <c r="D2" t="s">
        <v>2992</v>
      </c>
      <c r="E2" t="s">
        <v>2993</v>
      </c>
      <c r="F2" t="s">
        <v>2994</v>
      </c>
      <c r="G2" t="s">
        <v>105</v>
      </c>
    </row>
    <row r="3" spans="1:7" ht="11.25" customHeight="1">
      <c r="A3" t="s">
        <v>14</v>
      </c>
      <c r="B3" t="s">
        <v>2992</v>
      </c>
      <c r="C3" t="s">
        <v>2993</v>
      </c>
      <c r="D3" t="s">
        <v>2995</v>
      </c>
      <c r="E3" t="s">
        <v>2996</v>
      </c>
      <c r="F3" t="s">
        <v>2997</v>
      </c>
      <c r="G3" t="s">
        <v>106</v>
      </c>
    </row>
    <row r="4" spans="1:7" ht="11.25" customHeight="1">
      <c r="A4" t="s">
        <v>14</v>
      </c>
      <c r="B4" t="s">
        <v>2992</v>
      </c>
      <c r="C4" t="s">
        <v>2993</v>
      </c>
      <c r="D4" t="s">
        <v>2998</v>
      </c>
      <c r="E4" t="s">
        <v>2999</v>
      </c>
      <c r="F4" t="s">
        <v>2997</v>
      </c>
      <c r="G4" t="s">
        <v>89</v>
      </c>
    </row>
    <row r="5" spans="1:7" ht="11.25" customHeight="1">
      <c r="A5" t="s">
        <v>14</v>
      </c>
      <c r="B5" t="s">
        <v>2992</v>
      </c>
      <c r="C5" t="s">
        <v>2993</v>
      </c>
      <c r="D5" t="s">
        <v>3000</v>
      </c>
      <c r="E5" t="s">
        <v>3001</v>
      </c>
      <c r="F5" t="s">
        <v>2997</v>
      </c>
      <c r="G5" t="s">
        <v>90</v>
      </c>
    </row>
    <row r="6" spans="1:7" ht="11.25" customHeight="1">
      <c r="A6" t="s">
        <v>14</v>
      </c>
      <c r="B6" t="s">
        <v>2992</v>
      </c>
      <c r="C6" t="s">
        <v>2993</v>
      </c>
      <c r="D6" t="s">
        <v>3002</v>
      </c>
      <c r="E6" t="s">
        <v>3003</v>
      </c>
      <c r="F6" t="s">
        <v>2997</v>
      </c>
      <c r="G6" t="s">
        <v>107</v>
      </c>
    </row>
    <row r="7" spans="1:7" ht="11.25" customHeight="1">
      <c r="A7" t="s">
        <v>14</v>
      </c>
      <c r="B7" t="s">
        <v>3004</v>
      </c>
      <c r="C7" t="s">
        <v>3005</v>
      </c>
      <c r="D7" t="s">
        <v>3006</v>
      </c>
      <c r="E7" t="s">
        <v>3007</v>
      </c>
      <c r="F7" t="s">
        <v>2997</v>
      </c>
      <c r="G7" t="s">
        <v>91</v>
      </c>
    </row>
    <row r="8" spans="1:7" ht="11.25" customHeight="1">
      <c r="A8" t="s">
        <v>14</v>
      </c>
      <c r="B8" t="s">
        <v>3004</v>
      </c>
      <c r="C8" t="s">
        <v>3005</v>
      </c>
      <c r="D8" t="s">
        <v>3004</v>
      </c>
      <c r="E8" t="s">
        <v>3005</v>
      </c>
      <c r="F8" t="s">
        <v>2994</v>
      </c>
      <c r="G8" t="s">
        <v>92</v>
      </c>
    </row>
    <row r="9" spans="1:7" ht="11.25" customHeight="1">
      <c r="A9" t="s">
        <v>14</v>
      </c>
      <c r="B9" t="s">
        <v>3004</v>
      </c>
      <c r="C9" t="s">
        <v>3005</v>
      </c>
      <c r="D9" t="s">
        <v>3008</v>
      </c>
      <c r="E9" t="s">
        <v>3009</v>
      </c>
      <c r="F9" t="s">
        <v>2997</v>
      </c>
      <c r="G9" t="s">
        <v>108</v>
      </c>
    </row>
    <row r="10" spans="1:7" ht="11.25" customHeight="1">
      <c r="A10" t="s">
        <v>14</v>
      </c>
      <c r="B10" t="s">
        <v>3004</v>
      </c>
      <c r="C10" t="s">
        <v>3005</v>
      </c>
      <c r="D10" t="s">
        <v>3010</v>
      </c>
      <c r="E10" t="s">
        <v>3011</v>
      </c>
      <c r="F10" t="s">
        <v>3012</v>
      </c>
      <c r="G10" t="s">
        <v>144</v>
      </c>
    </row>
    <row r="11" spans="1:7" ht="11.25" customHeight="1">
      <c r="A11" t="s">
        <v>14</v>
      </c>
      <c r="B11" t="s">
        <v>3013</v>
      </c>
      <c r="C11" t="s">
        <v>3014</v>
      </c>
      <c r="D11" t="s">
        <v>3015</v>
      </c>
      <c r="E11" t="s">
        <v>3016</v>
      </c>
      <c r="F11" t="s">
        <v>2997</v>
      </c>
      <c r="G11" t="s">
        <v>145</v>
      </c>
    </row>
    <row r="12" spans="1:7" ht="11.25" customHeight="1">
      <c r="A12" t="s">
        <v>14</v>
      </c>
      <c r="B12" t="s">
        <v>3013</v>
      </c>
      <c r="C12" t="s">
        <v>3014</v>
      </c>
      <c r="D12" t="s">
        <v>3017</v>
      </c>
      <c r="E12" t="s">
        <v>3018</v>
      </c>
      <c r="F12" t="s">
        <v>2997</v>
      </c>
      <c r="G12" t="s">
        <v>146</v>
      </c>
    </row>
    <row r="13" spans="1:7" ht="11.25" customHeight="1">
      <c r="A13" t="s">
        <v>14</v>
      </c>
      <c r="B13" t="s">
        <v>3013</v>
      </c>
      <c r="C13" t="s">
        <v>3014</v>
      </c>
      <c r="D13" t="s">
        <v>3013</v>
      </c>
      <c r="E13" t="s">
        <v>3014</v>
      </c>
      <c r="F13" t="s">
        <v>2994</v>
      </c>
      <c r="G13" t="s">
        <v>147</v>
      </c>
    </row>
    <row r="14" spans="1:7" ht="11.25" customHeight="1">
      <c r="A14" t="s">
        <v>14</v>
      </c>
      <c r="B14" t="s">
        <v>3013</v>
      </c>
      <c r="C14" t="s">
        <v>3014</v>
      </c>
      <c r="D14" t="s">
        <v>3019</v>
      </c>
      <c r="E14" t="s">
        <v>3020</v>
      </c>
      <c r="F14" t="s">
        <v>2997</v>
      </c>
      <c r="G14" t="s">
        <v>148</v>
      </c>
    </row>
    <row r="15" spans="1:7" ht="11.25" customHeight="1">
      <c r="A15" t="s">
        <v>14</v>
      </c>
      <c r="B15" t="s">
        <v>3013</v>
      </c>
      <c r="C15" t="s">
        <v>3014</v>
      </c>
      <c r="D15" t="s">
        <v>3021</v>
      </c>
      <c r="E15" t="s">
        <v>3022</v>
      </c>
      <c r="F15" t="s">
        <v>2997</v>
      </c>
      <c r="G15" t="s">
        <v>149</v>
      </c>
    </row>
    <row r="16" spans="1:7" ht="11.25" customHeight="1">
      <c r="A16" t="s">
        <v>14</v>
      </c>
      <c r="B16" t="s">
        <v>3013</v>
      </c>
      <c r="C16" t="s">
        <v>3014</v>
      </c>
      <c r="D16" t="s">
        <v>3023</v>
      </c>
      <c r="E16" t="s">
        <v>3024</v>
      </c>
      <c r="F16" t="s">
        <v>2997</v>
      </c>
      <c r="G16" t="s">
        <v>869</v>
      </c>
    </row>
    <row r="17" spans="1:7" ht="11.25" customHeight="1">
      <c r="A17" t="s">
        <v>14</v>
      </c>
      <c r="B17" t="s">
        <v>3025</v>
      </c>
      <c r="C17" t="s">
        <v>3026</v>
      </c>
      <c r="D17" t="s">
        <v>3027</v>
      </c>
      <c r="E17" t="s">
        <v>3028</v>
      </c>
      <c r="F17" t="s">
        <v>2997</v>
      </c>
      <c r="G17" t="s">
        <v>875</v>
      </c>
    </row>
    <row r="18" spans="1:7" ht="11.25" customHeight="1">
      <c r="A18" t="s">
        <v>14</v>
      </c>
      <c r="B18" t="s">
        <v>3025</v>
      </c>
      <c r="C18" t="s">
        <v>3026</v>
      </c>
      <c r="D18" t="s">
        <v>3025</v>
      </c>
      <c r="E18" t="s">
        <v>3026</v>
      </c>
      <c r="F18" t="s">
        <v>2994</v>
      </c>
      <c r="G18" t="s">
        <v>886</v>
      </c>
    </row>
    <row r="19" spans="1:7" ht="11.25" customHeight="1">
      <c r="A19" t="s">
        <v>14</v>
      </c>
      <c r="B19" t="s">
        <v>3025</v>
      </c>
      <c r="C19" t="s">
        <v>3026</v>
      </c>
      <c r="D19" t="s">
        <v>3029</v>
      </c>
      <c r="E19" t="s">
        <v>3030</v>
      </c>
      <c r="F19" t="s">
        <v>2997</v>
      </c>
      <c r="G19" t="s">
        <v>900</v>
      </c>
    </row>
    <row r="20" spans="1:7" ht="11.25" customHeight="1">
      <c r="A20" t="s">
        <v>14</v>
      </c>
      <c r="B20" t="s">
        <v>3025</v>
      </c>
      <c r="C20" t="s">
        <v>3026</v>
      </c>
      <c r="D20" t="s">
        <v>3031</v>
      </c>
      <c r="E20" t="s">
        <v>3032</v>
      </c>
      <c r="F20" t="s">
        <v>2997</v>
      </c>
      <c r="G20" t="s">
        <v>912</v>
      </c>
    </row>
    <row r="21" spans="1:7" ht="11.25" customHeight="1">
      <c r="A21" t="s">
        <v>14</v>
      </c>
      <c r="B21" t="s">
        <v>3025</v>
      </c>
      <c r="C21" t="s">
        <v>3026</v>
      </c>
      <c r="D21" t="s">
        <v>3033</v>
      </c>
      <c r="E21" t="s">
        <v>3034</v>
      </c>
      <c r="F21" t="s">
        <v>2997</v>
      </c>
      <c r="G21" t="s">
        <v>921</v>
      </c>
    </row>
    <row r="22" spans="1:7" ht="11.25" customHeight="1">
      <c r="A22" t="s">
        <v>14</v>
      </c>
      <c r="B22" t="s">
        <v>3025</v>
      </c>
      <c r="C22" t="s">
        <v>3026</v>
      </c>
      <c r="D22" t="s">
        <v>3035</v>
      </c>
      <c r="E22" t="s">
        <v>3036</v>
      </c>
      <c r="F22" t="s">
        <v>2997</v>
      </c>
      <c r="G22" t="s">
        <v>937</v>
      </c>
    </row>
    <row r="23" spans="1:7" ht="11.25" customHeight="1">
      <c r="A23" t="s">
        <v>14</v>
      </c>
      <c r="B23" t="s">
        <v>3037</v>
      </c>
      <c r="C23" t="s">
        <v>3038</v>
      </c>
      <c r="D23" t="s">
        <v>3039</v>
      </c>
      <c r="E23" t="s">
        <v>3040</v>
      </c>
      <c r="F23" t="s">
        <v>2997</v>
      </c>
      <c r="G23" t="s">
        <v>944</v>
      </c>
    </row>
    <row r="24" spans="1:7" ht="11.25" customHeight="1">
      <c r="A24" t="s">
        <v>14</v>
      </c>
      <c r="B24" t="s">
        <v>3037</v>
      </c>
      <c r="C24" t="s">
        <v>3038</v>
      </c>
      <c r="D24" t="s">
        <v>3041</v>
      </c>
      <c r="E24" t="s">
        <v>3042</v>
      </c>
      <c r="F24" t="s">
        <v>2997</v>
      </c>
      <c r="G24" t="s">
        <v>952</v>
      </c>
    </row>
    <row r="25" spans="1:7" ht="11.25" customHeight="1">
      <c r="A25" t="s">
        <v>14</v>
      </c>
      <c r="B25" t="s">
        <v>3037</v>
      </c>
      <c r="C25" t="s">
        <v>3038</v>
      </c>
      <c r="D25" t="s">
        <v>3043</v>
      </c>
      <c r="E25" t="s">
        <v>3044</v>
      </c>
      <c r="F25" t="s">
        <v>2997</v>
      </c>
      <c r="G25" t="s">
        <v>959</v>
      </c>
    </row>
    <row r="26" spans="1:7" ht="11.25" customHeight="1">
      <c r="A26" t="s">
        <v>14</v>
      </c>
      <c r="B26" t="s">
        <v>3037</v>
      </c>
      <c r="C26" t="s">
        <v>3038</v>
      </c>
      <c r="D26" t="s">
        <v>3045</v>
      </c>
      <c r="E26" t="s">
        <v>3046</v>
      </c>
      <c r="F26" t="s">
        <v>3047</v>
      </c>
      <c r="G26" t="s">
        <v>962</v>
      </c>
    </row>
    <row r="27" spans="1:7" ht="11.25" customHeight="1">
      <c r="A27" t="s">
        <v>14</v>
      </c>
      <c r="B27" t="s">
        <v>3037</v>
      </c>
      <c r="C27" t="s">
        <v>3038</v>
      </c>
      <c r="D27" t="s">
        <v>3037</v>
      </c>
      <c r="E27" t="s">
        <v>3038</v>
      </c>
      <c r="F27" t="s">
        <v>2994</v>
      </c>
      <c r="G27" t="s">
        <v>967</v>
      </c>
    </row>
    <row r="28" spans="1:7" ht="11.25" customHeight="1">
      <c r="A28" t="s">
        <v>14</v>
      </c>
      <c r="B28" t="s">
        <v>3037</v>
      </c>
      <c r="C28" t="s">
        <v>3038</v>
      </c>
      <c r="D28" t="s">
        <v>3048</v>
      </c>
      <c r="E28" t="s">
        <v>3049</v>
      </c>
      <c r="F28" t="s">
        <v>2997</v>
      </c>
      <c r="G28" t="s">
        <v>975</v>
      </c>
    </row>
    <row r="29" spans="1:7" ht="11.25" customHeight="1">
      <c r="A29" t="s">
        <v>14</v>
      </c>
      <c r="B29" t="s">
        <v>3050</v>
      </c>
      <c r="C29" t="s">
        <v>3051</v>
      </c>
      <c r="D29" t="s">
        <v>3052</v>
      </c>
      <c r="E29" t="s">
        <v>3053</v>
      </c>
      <c r="F29" t="s">
        <v>2997</v>
      </c>
      <c r="G29" t="s">
        <v>977</v>
      </c>
    </row>
    <row r="30" spans="1:7" ht="11.25" customHeight="1">
      <c r="A30" t="s">
        <v>14</v>
      </c>
      <c r="B30" t="s">
        <v>3050</v>
      </c>
      <c r="C30" t="s">
        <v>3051</v>
      </c>
      <c r="D30" t="s">
        <v>3054</v>
      </c>
      <c r="E30" t="s">
        <v>3055</v>
      </c>
      <c r="F30" t="s">
        <v>2997</v>
      </c>
      <c r="G30" t="s">
        <v>980</v>
      </c>
    </row>
    <row r="31" spans="1:7" ht="11.25" customHeight="1">
      <c r="A31" t="s">
        <v>14</v>
      </c>
      <c r="B31" t="s">
        <v>3050</v>
      </c>
      <c r="C31" t="s">
        <v>3051</v>
      </c>
      <c r="D31" t="s">
        <v>3056</v>
      </c>
      <c r="E31" t="s">
        <v>3057</v>
      </c>
      <c r="F31" t="s">
        <v>2997</v>
      </c>
      <c r="G31" t="s">
        <v>986</v>
      </c>
    </row>
    <row r="32" spans="1:7" ht="11.25" customHeight="1">
      <c r="A32" t="s">
        <v>14</v>
      </c>
      <c r="B32" t="s">
        <v>3050</v>
      </c>
      <c r="C32" t="s">
        <v>3051</v>
      </c>
      <c r="D32" t="s">
        <v>3050</v>
      </c>
      <c r="E32" t="s">
        <v>3051</v>
      </c>
      <c r="F32" t="s">
        <v>2994</v>
      </c>
      <c r="G32" t="s">
        <v>988</v>
      </c>
    </row>
    <row r="33" spans="1:7" ht="11.25" customHeight="1">
      <c r="A33" t="s">
        <v>14</v>
      </c>
      <c r="B33" t="s">
        <v>3050</v>
      </c>
      <c r="C33" t="s">
        <v>3051</v>
      </c>
      <c r="D33" t="s">
        <v>3058</v>
      </c>
      <c r="E33" t="s">
        <v>3059</v>
      </c>
      <c r="F33" t="s">
        <v>2997</v>
      </c>
      <c r="G33" t="s">
        <v>990</v>
      </c>
    </row>
    <row r="34" spans="1:7" ht="11.25" customHeight="1">
      <c r="A34" t="s">
        <v>14</v>
      </c>
      <c r="B34" t="s">
        <v>3050</v>
      </c>
      <c r="C34" t="s">
        <v>3051</v>
      </c>
      <c r="D34" t="s">
        <v>3060</v>
      </c>
      <c r="E34" t="s">
        <v>3061</v>
      </c>
      <c r="F34" t="s">
        <v>2997</v>
      </c>
      <c r="G34" t="s">
        <v>992</v>
      </c>
    </row>
    <row r="35" spans="1:7" ht="11.25" customHeight="1">
      <c r="A35" t="s">
        <v>14</v>
      </c>
      <c r="B35" t="s">
        <v>3050</v>
      </c>
      <c r="C35" t="s">
        <v>3051</v>
      </c>
      <c r="D35" t="s">
        <v>3062</v>
      </c>
      <c r="E35" t="s">
        <v>3063</v>
      </c>
      <c r="F35" t="s">
        <v>2997</v>
      </c>
      <c r="G35" t="s">
        <v>998</v>
      </c>
    </row>
    <row r="36" spans="1:7" ht="11.25" customHeight="1">
      <c r="A36" t="s">
        <v>14</v>
      </c>
      <c r="B36" t="s">
        <v>3050</v>
      </c>
      <c r="C36" t="s">
        <v>3051</v>
      </c>
      <c r="D36" t="s">
        <v>3064</v>
      </c>
      <c r="E36" t="s">
        <v>3065</v>
      </c>
      <c r="F36" t="s">
        <v>2997</v>
      </c>
      <c r="G36" t="s">
        <v>1003</v>
      </c>
    </row>
    <row r="37" spans="1:7" ht="11.25" customHeight="1">
      <c r="A37" t="s">
        <v>14</v>
      </c>
      <c r="B37" t="s">
        <v>3050</v>
      </c>
      <c r="C37" t="s">
        <v>3051</v>
      </c>
      <c r="D37" t="s">
        <v>3066</v>
      </c>
      <c r="E37" t="s">
        <v>3067</v>
      </c>
      <c r="F37" t="s">
        <v>3012</v>
      </c>
      <c r="G37" t="s">
        <v>1007</v>
      </c>
    </row>
    <row r="38" spans="1:7" ht="11.25" customHeight="1">
      <c r="A38" t="s">
        <v>14</v>
      </c>
      <c r="B38" t="s">
        <v>3068</v>
      </c>
      <c r="C38" t="s">
        <v>3069</v>
      </c>
      <c r="D38" t="s">
        <v>3068</v>
      </c>
      <c r="E38" t="s">
        <v>3069</v>
      </c>
      <c r="F38" t="s">
        <v>3070</v>
      </c>
      <c r="G38" t="s">
        <v>1015</v>
      </c>
    </row>
    <row r="39" spans="1:7" ht="11.25" customHeight="1">
      <c r="A39" t="s">
        <v>14</v>
      </c>
      <c r="B39" t="s">
        <v>3071</v>
      </c>
      <c r="C39" t="s">
        <v>3072</v>
      </c>
      <c r="D39" t="s">
        <v>3073</v>
      </c>
      <c r="E39" t="s">
        <v>3074</v>
      </c>
      <c r="F39" t="s">
        <v>2997</v>
      </c>
      <c r="G39" t="s">
        <v>1022</v>
      </c>
    </row>
    <row r="40" spans="1:7" ht="11.25" customHeight="1">
      <c r="A40" t="s">
        <v>14</v>
      </c>
      <c r="B40" t="s">
        <v>3071</v>
      </c>
      <c r="C40" t="s">
        <v>3072</v>
      </c>
      <c r="D40" t="s">
        <v>3075</v>
      </c>
      <c r="E40" t="s">
        <v>3076</v>
      </c>
      <c r="F40" t="s">
        <v>2997</v>
      </c>
      <c r="G40" t="s">
        <v>1029</v>
      </c>
    </row>
    <row r="41" spans="1:7" ht="11.25" customHeight="1">
      <c r="A41" t="s">
        <v>14</v>
      </c>
      <c r="B41" t="s">
        <v>3071</v>
      </c>
      <c r="C41" t="s">
        <v>3072</v>
      </c>
      <c r="D41" t="s">
        <v>3077</v>
      </c>
      <c r="E41" t="s">
        <v>3078</v>
      </c>
      <c r="F41" t="s">
        <v>2997</v>
      </c>
      <c r="G41" t="s">
        <v>1035</v>
      </c>
    </row>
    <row r="42" spans="1:7" ht="11.25" customHeight="1">
      <c r="A42" t="s">
        <v>14</v>
      </c>
      <c r="B42" t="s">
        <v>3071</v>
      </c>
      <c r="C42" t="s">
        <v>3072</v>
      </c>
      <c r="D42" t="s">
        <v>3071</v>
      </c>
      <c r="E42" t="s">
        <v>3072</v>
      </c>
      <c r="F42" t="s">
        <v>2994</v>
      </c>
      <c r="G42" t="s">
        <v>1040</v>
      </c>
    </row>
    <row r="43" spans="1:7" ht="11.25" customHeight="1">
      <c r="A43" t="s">
        <v>14</v>
      </c>
      <c r="B43" t="s">
        <v>3071</v>
      </c>
      <c r="C43" t="s">
        <v>3072</v>
      </c>
      <c r="D43" t="s">
        <v>3079</v>
      </c>
      <c r="E43" t="s">
        <v>3080</v>
      </c>
      <c r="F43" t="s">
        <v>2997</v>
      </c>
      <c r="G43" t="s">
        <v>1047</v>
      </c>
    </row>
    <row r="44" spans="1:7" ht="11.25" customHeight="1">
      <c r="A44" t="s">
        <v>14</v>
      </c>
      <c r="B44" t="s">
        <v>3071</v>
      </c>
      <c r="C44" t="s">
        <v>3072</v>
      </c>
      <c r="D44" t="s">
        <v>3081</v>
      </c>
      <c r="E44" t="s">
        <v>3082</v>
      </c>
      <c r="F44" t="s">
        <v>2997</v>
      </c>
      <c r="G44" t="s">
        <v>1056</v>
      </c>
    </row>
    <row r="45" spans="1:7" ht="11.25" customHeight="1">
      <c r="A45" t="s">
        <v>14</v>
      </c>
      <c r="B45" t="s">
        <v>3071</v>
      </c>
      <c r="C45" t="s">
        <v>3072</v>
      </c>
      <c r="D45" t="s">
        <v>3083</v>
      </c>
      <c r="E45" t="s">
        <v>3084</v>
      </c>
      <c r="F45" t="s">
        <v>2997</v>
      </c>
      <c r="G45" t="s">
        <v>1061</v>
      </c>
    </row>
    <row r="46" spans="1:7" ht="11.25" customHeight="1">
      <c r="A46" t="s">
        <v>14</v>
      </c>
      <c r="B46" t="s">
        <v>3071</v>
      </c>
      <c r="C46" t="s">
        <v>3072</v>
      </c>
      <c r="D46" t="s">
        <v>3085</v>
      </c>
      <c r="E46" t="s">
        <v>3086</v>
      </c>
      <c r="F46" t="s">
        <v>2997</v>
      </c>
      <c r="G46" t="s">
        <v>1066</v>
      </c>
    </row>
    <row r="47" spans="1:7" ht="11.25" customHeight="1">
      <c r="A47" t="s">
        <v>14</v>
      </c>
      <c r="B47" t="s">
        <v>3071</v>
      </c>
      <c r="C47" t="s">
        <v>3072</v>
      </c>
      <c r="D47" t="s">
        <v>3087</v>
      </c>
      <c r="E47" t="s">
        <v>3088</v>
      </c>
      <c r="F47" t="s">
        <v>2997</v>
      </c>
      <c r="G47" t="s">
        <v>1073</v>
      </c>
    </row>
    <row r="48" spans="1:7" ht="11.25" customHeight="1">
      <c r="A48" t="s">
        <v>14</v>
      </c>
      <c r="B48" t="s">
        <v>3071</v>
      </c>
      <c r="C48" t="s">
        <v>3072</v>
      </c>
      <c r="D48" t="s">
        <v>3089</v>
      </c>
      <c r="E48" t="s">
        <v>3090</v>
      </c>
      <c r="F48" t="s">
        <v>2997</v>
      </c>
      <c r="G48" t="s">
        <v>1079</v>
      </c>
    </row>
    <row r="49" spans="1:7" ht="11.25" customHeight="1">
      <c r="A49" t="s">
        <v>14</v>
      </c>
      <c r="B49" t="s">
        <v>3071</v>
      </c>
      <c r="C49" t="s">
        <v>3072</v>
      </c>
      <c r="D49" t="s">
        <v>3091</v>
      </c>
      <c r="E49" t="s">
        <v>3092</v>
      </c>
      <c r="F49" t="s">
        <v>2997</v>
      </c>
      <c r="G49" t="s">
        <v>1085</v>
      </c>
    </row>
    <row r="50" spans="1:7" ht="11.25" customHeight="1">
      <c r="A50" t="s">
        <v>14</v>
      </c>
      <c r="B50" t="s">
        <v>3071</v>
      </c>
      <c r="C50" t="s">
        <v>3072</v>
      </c>
      <c r="D50" t="s">
        <v>3093</v>
      </c>
      <c r="E50" t="s">
        <v>3094</v>
      </c>
      <c r="F50" t="s">
        <v>2997</v>
      </c>
      <c r="G50" t="s">
        <v>1090</v>
      </c>
    </row>
    <row r="51" spans="1:7" ht="11.25" customHeight="1">
      <c r="A51" t="s">
        <v>14</v>
      </c>
      <c r="B51" t="s">
        <v>3071</v>
      </c>
      <c r="C51" t="s">
        <v>3072</v>
      </c>
      <c r="D51" t="s">
        <v>3095</v>
      </c>
      <c r="E51" t="s">
        <v>3096</v>
      </c>
      <c r="F51" t="s">
        <v>2997</v>
      </c>
      <c r="G51" t="s">
        <v>1095</v>
      </c>
    </row>
    <row r="52" spans="1:7" ht="11.25" customHeight="1">
      <c r="A52" t="s">
        <v>14</v>
      </c>
      <c r="B52" t="s">
        <v>3071</v>
      </c>
      <c r="C52" t="s">
        <v>3072</v>
      </c>
      <c r="D52" t="s">
        <v>3097</v>
      </c>
      <c r="E52" t="s">
        <v>3098</v>
      </c>
      <c r="F52" t="s">
        <v>2997</v>
      </c>
      <c r="G52" t="s">
        <v>1099</v>
      </c>
    </row>
    <row r="53" spans="1:7" ht="11.25" customHeight="1">
      <c r="A53" t="s">
        <v>14</v>
      </c>
      <c r="B53" t="s">
        <v>3099</v>
      </c>
      <c r="C53" t="s">
        <v>3100</v>
      </c>
      <c r="D53" t="s">
        <v>3101</v>
      </c>
      <c r="E53" t="s">
        <v>3102</v>
      </c>
      <c r="F53" t="s">
        <v>2997</v>
      </c>
      <c r="G53" t="s">
        <v>1101</v>
      </c>
    </row>
    <row r="54" spans="1:7" ht="11.25" customHeight="1">
      <c r="A54" t="s">
        <v>14</v>
      </c>
      <c r="B54" t="s">
        <v>3099</v>
      </c>
      <c r="C54" t="s">
        <v>3100</v>
      </c>
      <c r="D54" t="s">
        <v>3103</v>
      </c>
      <c r="E54" t="s">
        <v>3104</v>
      </c>
      <c r="F54" t="s">
        <v>2997</v>
      </c>
      <c r="G54" t="s">
        <v>1104</v>
      </c>
    </row>
    <row r="55" spans="1:7" ht="11.25" customHeight="1">
      <c r="A55" t="s">
        <v>14</v>
      </c>
      <c r="B55" t="s">
        <v>3099</v>
      </c>
      <c r="C55" t="s">
        <v>3100</v>
      </c>
      <c r="D55" t="s">
        <v>3099</v>
      </c>
      <c r="E55" t="s">
        <v>3100</v>
      </c>
      <c r="F55" t="s">
        <v>2994</v>
      </c>
      <c r="G55" t="s">
        <v>1108</v>
      </c>
    </row>
    <row r="56" spans="1:7" ht="11.25" customHeight="1">
      <c r="A56" t="s">
        <v>14</v>
      </c>
      <c r="B56" t="s">
        <v>3099</v>
      </c>
      <c r="C56" t="s">
        <v>3100</v>
      </c>
      <c r="D56" t="s">
        <v>3105</v>
      </c>
      <c r="E56" t="s">
        <v>3106</v>
      </c>
      <c r="F56" t="s">
        <v>2997</v>
      </c>
      <c r="G56" t="s">
        <v>1111</v>
      </c>
    </row>
    <row r="57" spans="1:7" ht="11.25" customHeight="1">
      <c r="A57" t="s">
        <v>14</v>
      </c>
      <c r="B57" t="s">
        <v>3099</v>
      </c>
      <c r="C57" t="s">
        <v>3100</v>
      </c>
      <c r="D57" t="s">
        <v>3107</v>
      </c>
      <c r="E57" t="s">
        <v>3108</v>
      </c>
      <c r="F57" t="s">
        <v>2997</v>
      </c>
      <c r="G57" t="s">
        <v>1114</v>
      </c>
    </row>
    <row r="58" spans="1:7" ht="11.25" customHeight="1">
      <c r="A58" t="s">
        <v>14</v>
      </c>
      <c r="B58" t="s">
        <v>3099</v>
      </c>
      <c r="C58" t="s">
        <v>3100</v>
      </c>
      <c r="D58" t="s">
        <v>3109</v>
      </c>
      <c r="E58" t="s">
        <v>3110</v>
      </c>
      <c r="F58" t="s">
        <v>2997</v>
      </c>
      <c r="G58" t="s">
        <v>1117</v>
      </c>
    </row>
    <row r="59" spans="1:7" ht="11.25" customHeight="1">
      <c r="A59" t="s">
        <v>14</v>
      </c>
      <c r="B59" t="s">
        <v>3099</v>
      </c>
      <c r="C59" t="s">
        <v>3100</v>
      </c>
      <c r="D59" t="s">
        <v>3111</v>
      </c>
      <c r="E59" t="s">
        <v>3112</v>
      </c>
      <c r="F59" t="s">
        <v>2997</v>
      </c>
      <c r="G59" t="s">
        <v>1121</v>
      </c>
    </row>
    <row r="60" spans="1:7" ht="11.25" customHeight="1">
      <c r="A60" t="s">
        <v>14</v>
      </c>
      <c r="B60" t="s">
        <v>3099</v>
      </c>
      <c r="C60" t="s">
        <v>3100</v>
      </c>
      <c r="D60" t="s">
        <v>3113</v>
      </c>
      <c r="E60" t="s">
        <v>3114</v>
      </c>
      <c r="F60" t="s">
        <v>2997</v>
      </c>
      <c r="G60" t="s">
        <v>1124</v>
      </c>
    </row>
    <row r="61" spans="1:7" ht="11.25" customHeight="1">
      <c r="A61" t="s">
        <v>14</v>
      </c>
      <c r="B61" t="s">
        <v>3099</v>
      </c>
      <c r="C61" t="s">
        <v>3100</v>
      </c>
      <c r="D61" t="s">
        <v>3115</v>
      </c>
      <c r="E61" t="s">
        <v>3116</v>
      </c>
      <c r="F61" t="s">
        <v>3012</v>
      </c>
      <c r="G61" t="s">
        <v>3117</v>
      </c>
    </row>
    <row r="62" spans="1:7" ht="11.25" customHeight="1">
      <c r="A62" t="s">
        <v>14</v>
      </c>
      <c r="B62" t="s">
        <v>3118</v>
      </c>
      <c r="C62" t="s">
        <v>3119</v>
      </c>
      <c r="D62" t="s">
        <v>3120</v>
      </c>
      <c r="E62" t="s">
        <v>3121</v>
      </c>
      <c r="F62" t="s">
        <v>2997</v>
      </c>
      <c r="G62" t="s">
        <v>3122</v>
      </c>
    </row>
    <row r="63" spans="1:7" ht="11.25" customHeight="1">
      <c r="A63" t="s">
        <v>14</v>
      </c>
      <c r="B63" t="s">
        <v>3118</v>
      </c>
      <c r="C63" t="s">
        <v>3119</v>
      </c>
      <c r="D63" t="s">
        <v>3118</v>
      </c>
      <c r="E63" t="s">
        <v>3119</v>
      </c>
      <c r="F63" t="s">
        <v>2994</v>
      </c>
      <c r="G63" t="s">
        <v>3123</v>
      </c>
    </row>
    <row r="64" spans="1:7" ht="11.25" customHeight="1">
      <c r="A64" t="s">
        <v>14</v>
      </c>
      <c r="B64" t="s">
        <v>3118</v>
      </c>
      <c r="C64" t="s">
        <v>3119</v>
      </c>
      <c r="D64" t="s">
        <v>3124</v>
      </c>
      <c r="E64" t="s">
        <v>3125</v>
      </c>
      <c r="F64" t="s">
        <v>2997</v>
      </c>
      <c r="G64" t="s">
        <v>3126</v>
      </c>
    </row>
    <row r="65" spans="1:7" ht="11.25" customHeight="1">
      <c r="A65" t="s">
        <v>14</v>
      </c>
      <c r="B65" t="s">
        <v>3118</v>
      </c>
      <c r="C65" t="s">
        <v>3119</v>
      </c>
      <c r="D65" t="s">
        <v>3127</v>
      </c>
      <c r="E65" t="s">
        <v>3128</v>
      </c>
      <c r="F65" t="s">
        <v>2997</v>
      </c>
      <c r="G65" t="s">
        <v>3129</v>
      </c>
    </row>
    <row r="66" spans="1:7" ht="11.25" customHeight="1">
      <c r="A66" t="s">
        <v>14</v>
      </c>
      <c r="B66" t="s">
        <v>3118</v>
      </c>
      <c r="C66" t="s">
        <v>3119</v>
      </c>
      <c r="D66" t="s">
        <v>3130</v>
      </c>
      <c r="E66" t="s">
        <v>3131</v>
      </c>
      <c r="F66" t="s">
        <v>2997</v>
      </c>
      <c r="G66" t="s">
        <v>3132</v>
      </c>
    </row>
    <row r="67" spans="1:7" ht="11.25" customHeight="1">
      <c r="A67" t="s">
        <v>14</v>
      </c>
      <c r="B67" t="s">
        <v>3118</v>
      </c>
      <c r="C67" t="s">
        <v>3119</v>
      </c>
      <c r="D67" t="s">
        <v>3133</v>
      </c>
      <c r="E67" t="s">
        <v>3134</v>
      </c>
      <c r="F67" t="s">
        <v>2997</v>
      </c>
      <c r="G67" t="s">
        <v>1341</v>
      </c>
    </row>
    <row r="68" spans="1:7" ht="11.25" customHeight="1">
      <c r="A68" t="s">
        <v>14</v>
      </c>
      <c r="B68" t="s">
        <v>3118</v>
      </c>
      <c r="C68" t="s">
        <v>3119</v>
      </c>
      <c r="D68" t="s">
        <v>3135</v>
      </c>
      <c r="E68" t="s">
        <v>3136</v>
      </c>
      <c r="F68" t="s">
        <v>3047</v>
      </c>
      <c r="G68" t="s">
        <v>3137</v>
      </c>
    </row>
    <row r="69" spans="1:7" ht="11.25" customHeight="1">
      <c r="A69" t="s">
        <v>14</v>
      </c>
      <c r="B69" t="s">
        <v>395</v>
      </c>
      <c r="C69" t="s">
        <v>396</v>
      </c>
      <c r="D69" t="s">
        <v>395</v>
      </c>
      <c r="E69" t="s">
        <v>396</v>
      </c>
      <c r="F69" t="s">
        <v>3070</v>
      </c>
      <c r="G69" t="s">
        <v>394</v>
      </c>
    </row>
    <row r="70" spans="1:7" ht="11.25" customHeight="1">
      <c r="A70" t="s">
        <v>14</v>
      </c>
      <c r="B70" t="s">
        <v>3138</v>
      </c>
      <c r="C70" t="s">
        <v>3139</v>
      </c>
      <c r="D70" t="s">
        <v>3138</v>
      </c>
      <c r="E70" t="s">
        <v>3139</v>
      </c>
      <c r="F70" t="s">
        <v>3070</v>
      </c>
      <c r="G70" t="s">
        <v>3140</v>
      </c>
    </row>
    <row r="71" spans="1:7" ht="11.25" customHeight="1">
      <c r="A71" t="s">
        <v>14</v>
      </c>
      <c r="B71" t="s">
        <v>3141</v>
      </c>
      <c r="C71" t="s">
        <v>3142</v>
      </c>
      <c r="D71" t="s">
        <v>3141</v>
      </c>
      <c r="E71" t="s">
        <v>3142</v>
      </c>
      <c r="F71" t="s">
        <v>3070</v>
      </c>
      <c r="G71" t="s">
        <v>3143</v>
      </c>
    </row>
    <row r="72" spans="1:7" ht="11.25" customHeight="1">
      <c r="A72" t="s">
        <v>14</v>
      </c>
      <c r="B72" t="s">
        <v>3144</v>
      </c>
      <c r="C72" t="s">
        <v>3145</v>
      </c>
      <c r="D72" t="s">
        <v>3146</v>
      </c>
      <c r="E72" t="s">
        <v>3147</v>
      </c>
      <c r="F72" t="s">
        <v>2997</v>
      </c>
      <c r="G72" t="s">
        <v>3148</v>
      </c>
    </row>
    <row r="73" spans="1:7" ht="11.25" customHeight="1">
      <c r="A73" t="s">
        <v>14</v>
      </c>
      <c r="B73" t="s">
        <v>3144</v>
      </c>
      <c r="C73" t="s">
        <v>3145</v>
      </c>
      <c r="D73" t="s">
        <v>3149</v>
      </c>
      <c r="E73" t="s">
        <v>3150</v>
      </c>
      <c r="F73" t="s">
        <v>2997</v>
      </c>
      <c r="G73" t="s">
        <v>3151</v>
      </c>
    </row>
    <row r="74" spans="1:7" ht="11.25" customHeight="1">
      <c r="A74" t="s">
        <v>14</v>
      </c>
      <c r="B74" t="s">
        <v>3144</v>
      </c>
      <c r="C74" t="s">
        <v>3145</v>
      </c>
      <c r="D74" t="s">
        <v>3144</v>
      </c>
      <c r="E74" t="s">
        <v>3145</v>
      </c>
      <c r="F74" t="s">
        <v>2994</v>
      </c>
      <c r="G74" t="s">
        <v>3152</v>
      </c>
    </row>
    <row r="75" spans="1:7" ht="11.25" customHeight="1">
      <c r="A75" t="s">
        <v>14</v>
      </c>
      <c r="B75" t="s">
        <v>3144</v>
      </c>
      <c r="C75" t="s">
        <v>3145</v>
      </c>
      <c r="D75" t="s">
        <v>3153</v>
      </c>
      <c r="E75" t="s">
        <v>3154</v>
      </c>
      <c r="F75" t="s">
        <v>2997</v>
      </c>
      <c r="G75" t="s">
        <v>3155</v>
      </c>
    </row>
    <row r="76" spans="1:7" ht="11.25" customHeight="1">
      <c r="A76" t="s">
        <v>14</v>
      </c>
      <c r="B76" t="s">
        <v>3156</v>
      </c>
      <c r="C76" t="s">
        <v>3157</v>
      </c>
      <c r="D76" t="s">
        <v>3156</v>
      </c>
      <c r="E76" t="s">
        <v>3157</v>
      </c>
      <c r="F76" t="s">
        <v>3070</v>
      </c>
      <c r="G76" t="s">
        <v>3158</v>
      </c>
    </row>
    <row r="77" spans="1:7" ht="11.25" customHeight="1">
      <c r="A77" t="s">
        <v>14</v>
      </c>
      <c r="B77" t="s">
        <v>3159</v>
      </c>
      <c r="C77" t="s">
        <v>3160</v>
      </c>
      <c r="D77" t="s">
        <v>3161</v>
      </c>
      <c r="E77" t="s">
        <v>3162</v>
      </c>
      <c r="F77" t="s">
        <v>2997</v>
      </c>
      <c r="G77" t="s">
        <v>3163</v>
      </c>
    </row>
    <row r="78" spans="1:7" ht="11.25" customHeight="1">
      <c r="A78" t="s">
        <v>14</v>
      </c>
      <c r="B78" t="s">
        <v>3159</v>
      </c>
      <c r="C78" t="s">
        <v>3160</v>
      </c>
      <c r="D78" t="s">
        <v>3164</v>
      </c>
      <c r="E78" t="s">
        <v>3165</v>
      </c>
      <c r="F78" t="s">
        <v>2997</v>
      </c>
      <c r="G78" t="s">
        <v>3166</v>
      </c>
    </row>
    <row r="79" spans="1:7" ht="11.25" customHeight="1">
      <c r="A79" t="s">
        <v>14</v>
      </c>
      <c r="B79" t="s">
        <v>3159</v>
      </c>
      <c r="C79" t="s">
        <v>3160</v>
      </c>
      <c r="D79" t="s">
        <v>3159</v>
      </c>
      <c r="E79" t="s">
        <v>3160</v>
      </c>
      <c r="F79" t="s">
        <v>2994</v>
      </c>
      <c r="G79" t="s">
        <v>3167</v>
      </c>
    </row>
    <row r="80" spans="1:7" ht="11.25" customHeight="1">
      <c r="A80" t="s">
        <v>14</v>
      </c>
      <c r="B80" t="s">
        <v>3159</v>
      </c>
      <c r="C80" t="s">
        <v>3160</v>
      </c>
      <c r="D80" t="s">
        <v>3168</v>
      </c>
      <c r="E80" t="s">
        <v>3169</v>
      </c>
      <c r="F80" t="s">
        <v>2997</v>
      </c>
      <c r="G80" t="s">
        <v>3170</v>
      </c>
    </row>
    <row r="81" spans="1:7" ht="11.25" customHeight="1">
      <c r="A81" t="s">
        <v>14</v>
      </c>
      <c r="B81" t="s">
        <v>3159</v>
      </c>
      <c r="C81" t="s">
        <v>3160</v>
      </c>
      <c r="D81" t="s">
        <v>3171</v>
      </c>
      <c r="E81" t="s">
        <v>3172</v>
      </c>
      <c r="F81" t="s">
        <v>2997</v>
      </c>
      <c r="G81" t="s">
        <v>3173</v>
      </c>
    </row>
    <row r="82" spans="1:7" ht="11.25" customHeight="1">
      <c r="A82" t="s">
        <v>14</v>
      </c>
      <c r="B82" t="s">
        <v>3174</v>
      </c>
      <c r="C82" t="s">
        <v>3175</v>
      </c>
      <c r="D82" t="s">
        <v>3174</v>
      </c>
      <c r="E82" t="s">
        <v>3175</v>
      </c>
      <c r="F82" t="s">
        <v>3070</v>
      </c>
      <c r="G82" t="s">
        <v>3176</v>
      </c>
    </row>
    <row r="83" spans="1:7" ht="11.25" customHeight="1">
      <c r="A83" t="s">
        <v>14</v>
      </c>
      <c r="B83" t="s">
        <v>3177</v>
      </c>
      <c r="C83" t="s">
        <v>3178</v>
      </c>
      <c r="D83" t="s">
        <v>3179</v>
      </c>
      <c r="E83" t="s">
        <v>3180</v>
      </c>
      <c r="F83" t="s">
        <v>2997</v>
      </c>
      <c r="G83" t="s">
        <v>3181</v>
      </c>
    </row>
    <row r="84" spans="1:7" ht="11.25" customHeight="1">
      <c r="A84" t="s">
        <v>14</v>
      </c>
      <c r="B84" t="s">
        <v>3177</v>
      </c>
      <c r="C84" t="s">
        <v>3178</v>
      </c>
      <c r="D84" t="s">
        <v>3177</v>
      </c>
      <c r="E84" t="s">
        <v>3178</v>
      </c>
      <c r="F84" t="s">
        <v>2994</v>
      </c>
      <c r="G84" t="s">
        <v>3182</v>
      </c>
    </row>
    <row r="85" spans="1:7" ht="11.25" customHeight="1">
      <c r="A85" t="s">
        <v>14</v>
      </c>
      <c r="B85" t="s">
        <v>3177</v>
      </c>
      <c r="C85" t="s">
        <v>3178</v>
      </c>
      <c r="D85" t="s">
        <v>3183</v>
      </c>
      <c r="E85" t="s">
        <v>3184</v>
      </c>
      <c r="F85" t="s">
        <v>2997</v>
      </c>
      <c r="G85" t="s">
        <v>3185</v>
      </c>
    </row>
    <row r="86" spans="1:7" ht="11.25" customHeight="1">
      <c r="A86" t="s">
        <v>14</v>
      </c>
      <c r="B86" t="s">
        <v>3177</v>
      </c>
      <c r="C86" t="s">
        <v>3178</v>
      </c>
      <c r="D86" t="s">
        <v>3186</v>
      </c>
      <c r="E86" t="s">
        <v>3187</v>
      </c>
      <c r="F86" t="s">
        <v>2997</v>
      </c>
      <c r="G86" t="s">
        <v>3188</v>
      </c>
    </row>
    <row r="87" spans="1:7" ht="11.25" customHeight="1">
      <c r="A87" t="s">
        <v>14</v>
      </c>
      <c r="B87" t="s">
        <v>3189</v>
      </c>
      <c r="C87" t="s">
        <v>3190</v>
      </c>
      <c r="D87" t="s">
        <v>3189</v>
      </c>
      <c r="E87" t="s">
        <v>3190</v>
      </c>
      <c r="F87" t="s">
        <v>3070</v>
      </c>
      <c r="G87" t="s">
        <v>3191</v>
      </c>
    </row>
    <row r="88" spans="1:7" ht="11.25" customHeight="1">
      <c r="A88" t="s">
        <v>14</v>
      </c>
      <c r="B88" t="s">
        <v>3192</v>
      </c>
      <c r="C88" t="s">
        <v>3193</v>
      </c>
      <c r="D88" t="s">
        <v>3192</v>
      </c>
      <c r="E88" t="s">
        <v>3193</v>
      </c>
      <c r="F88" t="s">
        <v>3070</v>
      </c>
      <c r="G88" t="s">
        <v>3194</v>
      </c>
    </row>
    <row r="89" spans="1:7" ht="11.25" customHeight="1">
      <c r="A89" t="s">
        <v>14</v>
      </c>
      <c r="B89" t="s">
        <v>3195</v>
      </c>
      <c r="C89" t="s">
        <v>3196</v>
      </c>
      <c r="D89" t="s">
        <v>3195</v>
      </c>
      <c r="E89" t="s">
        <v>3196</v>
      </c>
      <c r="F89" t="s">
        <v>3070</v>
      </c>
      <c r="G89" t="s">
        <v>3197</v>
      </c>
    </row>
    <row r="90" spans="1:7" ht="11.25" customHeight="1">
      <c r="A90" t="s">
        <v>14</v>
      </c>
      <c r="B90" t="s">
        <v>3198</v>
      </c>
      <c r="C90" t="s">
        <v>3199</v>
      </c>
      <c r="D90" t="s">
        <v>3198</v>
      </c>
      <c r="E90" t="s">
        <v>3199</v>
      </c>
      <c r="F90" t="s">
        <v>3070</v>
      </c>
      <c r="G90" t="s">
        <v>3200</v>
      </c>
    </row>
    <row r="91" spans="1:7" ht="11.25" customHeight="1">
      <c r="A91" t="s">
        <v>14</v>
      </c>
      <c r="B91" t="s">
        <v>3201</v>
      </c>
      <c r="C91" t="s">
        <v>3202</v>
      </c>
      <c r="D91" t="s">
        <v>3203</v>
      </c>
      <c r="E91" t="s">
        <v>3204</v>
      </c>
      <c r="F91" t="s">
        <v>2997</v>
      </c>
      <c r="G91" t="s">
        <v>3205</v>
      </c>
    </row>
    <row r="92" spans="1:7" ht="11.25" customHeight="1">
      <c r="A92" t="s">
        <v>14</v>
      </c>
      <c r="B92" t="s">
        <v>3201</v>
      </c>
      <c r="C92" t="s">
        <v>3202</v>
      </c>
      <c r="D92" t="s">
        <v>3206</v>
      </c>
      <c r="E92" t="s">
        <v>3207</v>
      </c>
      <c r="F92" t="s">
        <v>2997</v>
      </c>
      <c r="G92" t="s">
        <v>3208</v>
      </c>
    </row>
    <row r="93" spans="1:7" ht="11.25" customHeight="1">
      <c r="A93" t="s">
        <v>14</v>
      </c>
      <c r="B93" t="s">
        <v>3201</v>
      </c>
      <c r="C93" t="s">
        <v>3202</v>
      </c>
      <c r="D93" t="s">
        <v>3209</v>
      </c>
      <c r="E93" t="s">
        <v>3210</v>
      </c>
      <c r="F93" t="s">
        <v>2997</v>
      </c>
      <c r="G93" t="s">
        <v>3211</v>
      </c>
    </row>
    <row r="94" spans="1:7" ht="11.25" customHeight="1">
      <c r="A94" t="s">
        <v>14</v>
      </c>
      <c r="B94" t="s">
        <v>3201</v>
      </c>
      <c r="C94" t="s">
        <v>3202</v>
      </c>
      <c r="D94" t="s">
        <v>3212</v>
      </c>
      <c r="E94" t="s">
        <v>3213</v>
      </c>
      <c r="F94" t="s">
        <v>2997</v>
      </c>
      <c r="G94" t="s">
        <v>3214</v>
      </c>
    </row>
    <row r="95" spans="1:7" ht="11.25" customHeight="1">
      <c r="A95" t="s">
        <v>14</v>
      </c>
      <c r="B95" t="s">
        <v>3201</v>
      </c>
      <c r="C95" t="s">
        <v>3202</v>
      </c>
      <c r="D95" t="s">
        <v>3201</v>
      </c>
      <c r="E95" t="s">
        <v>3202</v>
      </c>
      <c r="F95" t="s">
        <v>2994</v>
      </c>
      <c r="G95" t="s">
        <v>3215</v>
      </c>
    </row>
    <row r="96" spans="1:7" ht="11.25" customHeight="1">
      <c r="A96" t="s">
        <v>14</v>
      </c>
      <c r="B96" t="s">
        <v>3201</v>
      </c>
      <c r="C96" t="s">
        <v>3202</v>
      </c>
      <c r="D96" t="s">
        <v>3216</v>
      </c>
      <c r="E96" t="s">
        <v>3217</v>
      </c>
      <c r="F96" t="s">
        <v>2997</v>
      </c>
      <c r="G96" t="s">
        <v>3218</v>
      </c>
    </row>
    <row r="97" spans="1:7" ht="11.25" customHeight="1">
      <c r="A97" t="s">
        <v>14</v>
      </c>
      <c r="B97" t="s">
        <v>3201</v>
      </c>
      <c r="C97" t="s">
        <v>3202</v>
      </c>
      <c r="D97" t="s">
        <v>3219</v>
      </c>
      <c r="E97" t="s">
        <v>3220</v>
      </c>
      <c r="F97" t="s">
        <v>3047</v>
      </c>
      <c r="G97" t="s">
        <v>3221</v>
      </c>
    </row>
    <row r="98" spans="1:7" ht="11.25" customHeight="1">
      <c r="A98" t="s">
        <v>14</v>
      </c>
      <c r="B98" t="s">
        <v>3222</v>
      </c>
      <c r="C98" t="s">
        <v>3223</v>
      </c>
      <c r="D98" t="s">
        <v>3224</v>
      </c>
      <c r="E98" t="s">
        <v>3225</v>
      </c>
      <c r="F98" t="s">
        <v>2997</v>
      </c>
      <c r="G98" t="s">
        <v>3226</v>
      </c>
    </row>
    <row r="99" spans="1:7" ht="11.25" customHeight="1">
      <c r="A99" t="s">
        <v>14</v>
      </c>
      <c r="B99" t="s">
        <v>3222</v>
      </c>
      <c r="C99" t="s">
        <v>3223</v>
      </c>
      <c r="D99" t="s">
        <v>3227</v>
      </c>
      <c r="E99" t="s">
        <v>3228</v>
      </c>
      <c r="F99" t="s">
        <v>2997</v>
      </c>
      <c r="G99" t="s">
        <v>3229</v>
      </c>
    </row>
    <row r="100" spans="1:7" ht="11.25" customHeight="1">
      <c r="A100" t="s">
        <v>14</v>
      </c>
      <c r="B100" t="s">
        <v>3222</v>
      </c>
      <c r="C100" t="s">
        <v>3223</v>
      </c>
      <c r="D100" t="s">
        <v>3222</v>
      </c>
      <c r="E100" t="s">
        <v>3223</v>
      </c>
      <c r="F100" t="s">
        <v>2994</v>
      </c>
      <c r="G100" t="s">
        <v>3230</v>
      </c>
    </row>
    <row r="101" spans="1:7" ht="11.25" customHeight="1">
      <c r="A101" t="s">
        <v>14</v>
      </c>
      <c r="B101" t="s">
        <v>3222</v>
      </c>
      <c r="C101" t="s">
        <v>3223</v>
      </c>
      <c r="D101" t="s">
        <v>3231</v>
      </c>
      <c r="E101" t="s">
        <v>3232</v>
      </c>
      <c r="F101" t="s">
        <v>2997</v>
      </c>
      <c r="G101" t="s">
        <v>3233</v>
      </c>
    </row>
    <row r="102" spans="1:7" ht="11.25" customHeight="1">
      <c r="A102" t="s">
        <v>14</v>
      </c>
      <c r="B102" t="s">
        <v>3222</v>
      </c>
      <c r="C102" t="s">
        <v>3223</v>
      </c>
      <c r="D102" t="s">
        <v>3234</v>
      </c>
      <c r="E102" t="s">
        <v>3235</v>
      </c>
      <c r="F102" t="s">
        <v>3012</v>
      </c>
      <c r="G102" t="s">
        <v>3236</v>
      </c>
    </row>
    <row r="103" spans="1:7" ht="11.25" customHeight="1">
      <c r="A103" t="s">
        <v>14</v>
      </c>
      <c r="B103" t="s">
        <v>3237</v>
      </c>
      <c r="C103" t="s">
        <v>3238</v>
      </c>
      <c r="D103" t="s">
        <v>3239</v>
      </c>
      <c r="E103" t="s">
        <v>3240</v>
      </c>
      <c r="F103" t="s">
        <v>2997</v>
      </c>
      <c r="G103" t="s">
        <v>3241</v>
      </c>
    </row>
    <row r="104" spans="1:7" ht="11.25" customHeight="1">
      <c r="A104" t="s">
        <v>14</v>
      </c>
      <c r="B104" t="s">
        <v>3237</v>
      </c>
      <c r="C104" t="s">
        <v>3238</v>
      </c>
      <c r="D104" t="s">
        <v>3242</v>
      </c>
      <c r="E104" t="s">
        <v>3243</v>
      </c>
      <c r="F104" t="s">
        <v>2997</v>
      </c>
      <c r="G104" t="s">
        <v>3244</v>
      </c>
    </row>
    <row r="105" spans="1:7" ht="11.25" customHeight="1">
      <c r="A105" t="s">
        <v>14</v>
      </c>
      <c r="B105" t="s">
        <v>3237</v>
      </c>
      <c r="C105" t="s">
        <v>3238</v>
      </c>
      <c r="D105" t="s">
        <v>3245</v>
      </c>
      <c r="E105" t="s">
        <v>3246</v>
      </c>
      <c r="F105" t="s">
        <v>2997</v>
      </c>
      <c r="G105" t="s">
        <v>3247</v>
      </c>
    </row>
    <row r="106" spans="1:7" ht="11.25" customHeight="1">
      <c r="A106" t="s">
        <v>14</v>
      </c>
      <c r="B106" t="s">
        <v>3237</v>
      </c>
      <c r="C106" t="s">
        <v>3238</v>
      </c>
      <c r="D106" t="s">
        <v>3248</v>
      </c>
      <c r="E106" t="s">
        <v>3249</v>
      </c>
      <c r="F106" t="s">
        <v>2997</v>
      </c>
      <c r="G106" t="s">
        <v>3250</v>
      </c>
    </row>
    <row r="107" spans="1:7" ht="11.25" customHeight="1">
      <c r="A107" t="s">
        <v>14</v>
      </c>
      <c r="B107" t="s">
        <v>3237</v>
      </c>
      <c r="C107" t="s">
        <v>3238</v>
      </c>
      <c r="D107" t="s">
        <v>3251</v>
      </c>
      <c r="E107" t="s">
        <v>3252</v>
      </c>
      <c r="F107" t="s">
        <v>2997</v>
      </c>
      <c r="G107" t="s">
        <v>3253</v>
      </c>
    </row>
    <row r="108" spans="1:7" ht="11.25" customHeight="1">
      <c r="A108" t="s">
        <v>14</v>
      </c>
      <c r="B108" t="s">
        <v>3237</v>
      </c>
      <c r="C108" t="s">
        <v>3238</v>
      </c>
      <c r="D108" t="s">
        <v>3237</v>
      </c>
      <c r="E108" t="s">
        <v>3238</v>
      </c>
      <c r="F108" t="s">
        <v>2994</v>
      </c>
      <c r="G108" t="s">
        <v>3254</v>
      </c>
    </row>
    <row r="109" spans="1:7" ht="11.25" customHeight="1">
      <c r="A109" t="s">
        <v>14</v>
      </c>
      <c r="B109" t="s">
        <v>3237</v>
      </c>
      <c r="C109" t="s">
        <v>3238</v>
      </c>
      <c r="D109" t="s">
        <v>3255</v>
      </c>
      <c r="E109" t="s">
        <v>3256</v>
      </c>
      <c r="F109" t="s">
        <v>2997</v>
      </c>
      <c r="G109" t="s">
        <v>3257</v>
      </c>
    </row>
    <row r="110" spans="1:7" ht="11.25" customHeight="1">
      <c r="A110" t="s">
        <v>14</v>
      </c>
      <c r="B110" t="s">
        <v>3237</v>
      </c>
      <c r="C110" t="s">
        <v>3238</v>
      </c>
      <c r="D110" t="s">
        <v>3258</v>
      </c>
      <c r="E110" t="s">
        <v>3259</v>
      </c>
      <c r="F110" t="s">
        <v>3012</v>
      </c>
      <c r="G110" t="s">
        <v>3260</v>
      </c>
    </row>
    <row r="111" spans="1:7" ht="11.25" customHeight="1">
      <c r="A111" t="s">
        <v>14</v>
      </c>
      <c r="B111" t="s">
        <v>3261</v>
      </c>
      <c r="C111" t="s">
        <v>3262</v>
      </c>
      <c r="D111" t="s">
        <v>3263</v>
      </c>
      <c r="E111" t="s">
        <v>3264</v>
      </c>
      <c r="F111" t="s">
        <v>2997</v>
      </c>
      <c r="G111" t="s">
        <v>3265</v>
      </c>
    </row>
    <row r="112" spans="1:7" ht="11.25" customHeight="1">
      <c r="A112" t="s">
        <v>14</v>
      </c>
      <c r="B112" t="s">
        <v>3261</v>
      </c>
      <c r="C112" t="s">
        <v>3262</v>
      </c>
      <c r="D112" t="s">
        <v>3266</v>
      </c>
      <c r="E112" t="s">
        <v>3267</v>
      </c>
      <c r="F112" t="s">
        <v>2997</v>
      </c>
      <c r="G112" t="s">
        <v>3268</v>
      </c>
    </row>
    <row r="113" spans="1:7" ht="11.25" customHeight="1">
      <c r="A113" t="s">
        <v>14</v>
      </c>
      <c r="B113" t="s">
        <v>3261</v>
      </c>
      <c r="C113" t="s">
        <v>3262</v>
      </c>
      <c r="D113" t="s">
        <v>3269</v>
      </c>
      <c r="E113" t="s">
        <v>3270</v>
      </c>
      <c r="F113" t="s">
        <v>2997</v>
      </c>
      <c r="G113" t="s">
        <v>3271</v>
      </c>
    </row>
    <row r="114" spans="1:7" ht="11.25" customHeight="1">
      <c r="A114" t="s">
        <v>14</v>
      </c>
      <c r="B114" t="s">
        <v>3261</v>
      </c>
      <c r="C114" t="s">
        <v>3262</v>
      </c>
      <c r="D114" t="s">
        <v>3272</v>
      </c>
      <c r="E114" t="s">
        <v>3273</v>
      </c>
      <c r="F114" t="s">
        <v>2997</v>
      </c>
      <c r="G114" t="s">
        <v>3274</v>
      </c>
    </row>
    <row r="115" spans="1:7" ht="11.25" customHeight="1">
      <c r="A115" t="s">
        <v>14</v>
      </c>
      <c r="B115" t="s">
        <v>3261</v>
      </c>
      <c r="C115" t="s">
        <v>3262</v>
      </c>
      <c r="D115" t="s">
        <v>3261</v>
      </c>
      <c r="E115" t="s">
        <v>3262</v>
      </c>
      <c r="F115" t="s">
        <v>2994</v>
      </c>
      <c r="G115" t="s">
        <v>3275</v>
      </c>
    </row>
    <row r="116" spans="1:7" ht="11.25" customHeight="1">
      <c r="A116" t="s">
        <v>14</v>
      </c>
      <c r="B116" t="s">
        <v>3261</v>
      </c>
      <c r="C116" t="s">
        <v>3262</v>
      </c>
      <c r="D116" t="s">
        <v>3276</v>
      </c>
      <c r="E116" t="s">
        <v>3277</v>
      </c>
      <c r="F116" t="s">
        <v>2997</v>
      </c>
      <c r="G116" t="s">
        <v>3278</v>
      </c>
    </row>
    <row r="117" spans="1:7" ht="11.25" customHeight="1">
      <c r="A117" t="s">
        <v>14</v>
      </c>
      <c r="B117" t="s">
        <v>3261</v>
      </c>
      <c r="C117" t="s">
        <v>3262</v>
      </c>
      <c r="D117" t="s">
        <v>3279</v>
      </c>
      <c r="E117" t="s">
        <v>3280</v>
      </c>
      <c r="F117" t="s">
        <v>2997</v>
      </c>
      <c r="G117" t="s">
        <v>3281</v>
      </c>
    </row>
    <row r="118" spans="1:7" ht="11.25" customHeight="1">
      <c r="A118" t="s">
        <v>14</v>
      </c>
      <c r="B118" t="s">
        <v>3261</v>
      </c>
      <c r="C118" t="s">
        <v>3262</v>
      </c>
      <c r="D118" t="s">
        <v>3282</v>
      </c>
      <c r="E118" t="s">
        <v>3283</v>
      </c>
      <c r="F118" t="s">
        <v>3047</v>
      </c>
      <c r="G118" t="s">
        <v>3284</v>
      </c>
    </row>
    <row r="119" spans="1:7" ht="11.25" customHeight="1">
      <c r="A119" t="s">
        <v>14</v>
      </c>
      <c r="B119" t="s">
        <v>3285</v>
      </c>
      <c r="C119" t="s">
        <v>3286</v>
      </c>
      <c r="D119" t="s">
        <v>3287</v>
      </c>
      <c r="E119" t="s">
        <v>3288</v>
      </c>
      <c r="F119" t="s">
        <v>2997</v>
      </c>
      <c r="G119" t="s">
        <v>3289</v>
      </c>
    </row>
    <row r="120" spans="1:7" ht="11.25" customHeight="1">
      <c r="A120" t="s">
        <v>14</v>
      </c>
      <c r="B120" t="s">
        <v>3285</v>
      </c>
      <c r="C120" t="s">
        <v>3286</v>
      </c>
      <c r="D120" t="s">
        <v>3290</v>
      </c>
      <c r="E120" t="s">
        <v>3291</v>
      </c>
      <c r="F120" t="s">
        <v>2997</v>
      </c>
      <c r="G120" t="s">
        <v>3292</v>
      </c>
    </row>
    <row r="121" spans="1:7" ht="11.25" customHeight="1">
      <c r="A121" t="s">
        <v>14</v>
      </c>
      <c r="B121" t="s">
        <v>3285</v>
      </c>
      <c r="C121" t="s">
        <v>3286</v>
      </c>
      <c r="D121" t="s">
        <v>3293</v>
      </c>
      <c r="E121" t="s">
        <v>3294</v>
      </c>
      <c r="F121" t="s">
        <v>2997</v>
      </c>
      <c r="G121" t="s">
        <v>3295</v>
      </c>
    </row>
    <row r="122" spans="1:7" ht="11.25" customHeight="1">
      <c r="A122" t="s">
        <v>14</v>
      </c>
      <c r="B122" t="s">
        <v>3285</v>
      </c>
      <c r="C122" t="s">
        <v>3286</v>
      </c>
      <c r="D122" t="s">
        <v>3296</v>
      </c>
      <c r="E122" t="s">
        <v>3297</v>
      </c>
      <c r="F122" t="s">
        <v>2997</v>
      </c>
      <c r="G122" t="s">
        <v>3298</v>
      </c>
    </row>
    <row r="123" spans="1:7" ht="11.25" customHeight="1">
      <c r="A123" t="s">
        <v>14</v>
      </c>
      <c r="B123" t="s">
        <v>3285</v>
      </c>
      <c r="C123" t="s">
        <v>3286</v>
      </c>
      <c r="D123" t="s">
        <v>3299</v>
      </c>
      <c r="E123" t="s">
        <v>3300</v>
      </c>
      <c r="F123" t="s">
        <v>2997</v>
      </c>
      <c r="G123" t="s">
        <v>3301</v>
      </c>
    </row>
    <row r="124" spans="1:7" ht="11.25" customHeight="1">
      <c r="A124" t="s">
        <v>14</v>
      </c>
      <c r="B124" t="s">
        <v>3285</v>
      </c>
      <c r="C124" t="s">
        <v>3286</v>
      </c>
      <c r="D124" t="s">
        <v>3302</v>
      </c>
      <c r="E124" t="s">
        <v>3303</v>
      </c>
      <c r="F124" t="s">
        <v>2997</v>
      </c>
      <c r="G124" t="s">
        <v>3304</v>
      </c>
    </row>
    <row r="125" spans="1:7" ht="11.25" customHeight="1">
      <c r="A125" t="s">
        <v>14</v>
      </c>
      <c r="B125" t="s">
        <v>3285</v>
      </c>
      <c r="C125" t="s">
        <v>3286</v>
      </c>
      <c r="D125" t="s">
        <v>3285</v>
      </c>
      <c r="E125" t="s">
        <v>3286</v>
      </c>
      <c r="F125" t="s">
        <v>2994</v>
      </c>
      <c r="G125" t="s">
        <v>3305</v>
      </c>
    </row>
    <row r="126" spans="1:7" ht="11.25" customHeight="1">
      <c r="A126" t="s">
        <v>14</v>
      </c>
      <c r="B126" t="s">
        <v>3285</v>
      </c>
      <c r="C126" t="s">
        <v>3286</v>
      </c>
      <c r="D126" t="s">
        <v>3306</v>
      </c>
      <c r="E126" t="s">
        <v>3307</v>
      </c>
      <c r="F126" t="s">
        <v>2997</v>
      </c>
      <c r="G126" t="s">
        <v>3308</v>
      </c>
    </row>
    <row r="127" spans="1:7" ht="11.25" customHeight="1">
      <c r="A127" t="s">
        <v>14</v>
      </c>
      <c r="B127" t="s">
        <v>3309</v>
      </c>
      <c r="C127" t="s">
        <v>3310</v>
      </c>
      <c r="D127" t="s">
        <v>3309</v>
      </c>
      <c r="E127" t="s">
        <v>3310</v>
      </c>
      <c r="F127" t="s">
        <v>3311</v>
      </c>
      <c r="G127" t="s">
        <v>3312</v>
      </c>
    </row>
    <row r="128" spans="1:7" ht="11.25" customHeight="1">
      <c r="A128" t="s">
        <v>14</v>
      </c>
      <c r="B128" t="s">
        <v>3313</v>
      </c>
      <c r="C128" t="s">
        <v>3314</v>
      </c>
      <c r="D128" t="s">
        <v>3313</v>
      </c>
      <c r="E128" t="s">
        <v>3314</v>
      </c>
      <c r="F128" t="s">
        <v>3311</v>
      </c>
      <c r="G128" t="s">
        <v>3315</v>
      </c>
    </row>
    <row r="129" spans="1:7" ht="11.25" customHeight="1">
      <c r="A129" t="s">
        <v>14</v>
      </c>
      <c r="B129" t="s">
        <v>3316</v>
      </c>
      <c r="C129" t="s">
        <v>3317</v>
      </c>
      <c r="D129" t="s">
        <v>3316</v>
      </c>
      <c r="E129" t="s">
        <v>3317</v>
      </c>
      <c r="F129" t="s">
        <v>3311</v>
      </c>
      <c r="G129" t="s">
        <v>3318</v>
      </c>
    </row>
    <row r="130" spans="1:7" ht="11.25" customHeight="1">
      <c r="A130" t="s">
        <v>14</v>
      </c>
      <c r="B130" t="s">
        <v>3319</v>
      </c>
      <c r="C130" t="s">
        <v>3320</v>
      </c>
      <c r="D130" t="s">
        <v>3319</v>
      </c>
      <c r="E130" t="s">
        <v>3320</v>
      </c>
      <c r="F130" t="s">
        <v>3311</v>
      </c>
      <c r="G130" t="s">
        <v>3321</v>
      </c>
    </row>
    <row r="131" spans="1:7" ht="11.25" customHeight="1">
      <c r="A131" t="s">
        <v>14</v>
      </c>
      <c r="B131" t="s">
        <v>3322</v>
      </c>
      <c r="C131" t="s">
        <v>3323</v>
      </c>
      <c r="D131" t="s">
        <v>3322</v>
      </c>
      <c r="E131" t="s">
        <v>3323</v>
      </c>
      <c r="F131" t="s">
        <v>3311</v>
      </c>
      <c r="G131" t="s">
        <v>3324</v>
      </c>
    </row>
    <row r="132" spans="1:7" ht="11.25" customHeight="1">
      <c r="A132" t="s">
        <v>14</v>
      </c>
      <c r="B132" t="s">
        <v>3325</v>
      </c>
      <c r="C132" t="s">
        <v>3326</v>
      </c>
      <c r="D132" t="s">
        <v>3325</v>
      </c>
      <c r="E132" t="s">
        <v>3326</v>
      </c>
      <c r="F132" t="s">
        <v>3311</v>
      </c>
      <c r="G132" t="s">
        <v>3327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6"/>
  <sheetViews>
    <sheetView showGridLines="0" workbookViewId="0"/>
  </sheetViews>
  <sheetFormatPr defaultColWidth="9.09765625" defaultRowHeight="11.25" customHeight="1"/>
  <cols>
    <col min="1" max="4" width="9.09765625" style="1615"/>
  </cols>
  <sheetData>
    <row r="1" spans="1:4" ht="11.25" customHeight="1">
      <c r="A1" s="753" t="s">
        <v>3328</v>
      </c>
      <c r="B1" s="753" t="s">
        <v>3329</v>
      </c>
      <c r="C1" s="753" t="s">
        <v>3330</v>
      </c>
      <c r="D1" s="753" t="s">
        <v>3331</v>
      </c>
    </row>
    <row r="2" spans="1:4" ht="11.25" customHeight="1">
      <c r="A2" s="1615" t="s">
        <v>105</v>
      </c>
      <c r="B2" s="1615" t="s">
        <v>3332</v>
      </c>
      <c r="C2" s="1615" t="s">
        <v>3333</v>
      </c>
      <c r="D2" s="1615" t="s">
        <v>3334</v>
      </c>
    </row>
    <row r="3" spans="1:4" ht="11.25" customHeight="1">
      <c r="A3" s="1615" t="s">
        <v>106</v>
      </c>
      <c r="B3" s="1615" t="s">
        <v>3335</v>
      </c>
      <c r="C3" s="1615" t="s">
        <v>3336</v>
      </c>
      <c r="D3" s="1615" t="s">
        <v>3337</v>
      </c>
    </row>
    <row r="4" spans="1:4" ht="11.25" customHeight="1">
      <c r="A4" s="1615" t="s">
        <v>89</v>
      </c>
      <c r="B4" s="1615" t="s">
        <v>3338</v>
      </c>
      <c r="C4" s="1615" t="s">
        <v>3339</v>
      </c>
      <c r="D4" s="1615" t="s">
        <v>3334</v>
      </c>
    </row>
    <row r="5" spans="1:4" ht="11.25" customHeight="1">
      <c r="A5" s="1615" t="s">
        <v>90</v>
      </c>
      <c r="B5" s="1615" t="s">
        <v>3340</v>
      </c>
      <c r="C5" s="1615" t="s">
        <v>3333</v>
      </c>
      <c r="D5" s="1615" t="s">
        <v>3334</v>
      </c>
    </row>
    <row r="6" spans="1:4" ht="11.25" customHeight="1">
      <c r="A6" s="1615" t="s">
        <v>107</v>
      </c>
      <c r="B6" s="1615" t="s">
        <v>3341</v>
      </c>
      <c r="C6" s="1615" t="s">
        <v>3342</v>
      </c>
      <c r="D6" s="1615" t="s">
        <v>3343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01"/>
  </cols>
  <sheetData>
    <row r="1" spans="1:2" ht="11.25" customHeight="1">
      <c r="A1" s="101" t="s">
        <v>126</v>
      </c>
      <c r="B1" s="101" t="s">
        <v>3344</v>
      </c>
    </row>
    <row r="2" spans="1:2" ht="11.25" customHeight="1">
      <c r="A2" s="1802" t="s">
        <v>97</v>
      </c>
      <c r="B2" s="1802" t="s">
        <v>3345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5"/>
    <col min="2" max="2" width="65.296875" style="1615" customWidth="1"/>
  </cols>
  <sheetData>
    <row r="1" spans="1:2" ht="11.25" customHeight="1">
      <c r="A1" s="753" t="s">
        <v>3346</v>
      </c>
      <c r="B1" s="753" t="s">
        <v>3347</v>
      </c>
    </row>
    <row r="2" spans="1:2" ht="11.25" customHeight="1">
      <c r="A2" s="753">
        <v>4213775</v>
      </c>
      <c r="B2" s="753" t="s">
        <v>624</v>
      </c>
    </row>
    <row r="3" spans="1:2" ht="11.25" customHeight="1">
      <c r="A3" s="753">
        <v>4213784</v>
      </c>
      <c r="B3" s="753" t="s">
        <v>660</v>
      </c>
    </row>
    <row r="4" spans="1:2" ht="11.25" customHeight="1">
      <c r="A4" s="753">
        <v>4213781</v>
      </c>
      <c r="B4" s="753" t="s">
        <v>653</v>
      </c>
    </row>
    <row r="5" spans="1:2" ht="11.25" customHeight="1">
      <c r="A5" s="753">
        <v>4213776</v>
      </c>
      <c r="B5" s="753" t="s">
        <v>162</v>
      </c>
    </row>
    <row r="6" spans="1:2" ht="11.25" customHeight="1">
      <c r="A6" s="753">
        <v>4213777</v>
      </c>
      <c r="B6" s="753" t="s">
        <v>168</v>
      </c>
    </row>
    <row r="7" spans="1:2" ht="11.25" customHeight="1">
      <c r="A7" s="753">
        <v>4213778</v>
      </c>
      <c r="B7" s="753" t="s">
        <v>174</v>
      </c>
    </row>
    <row r="8" spans="1:2" ht="11.25" customHeight="1">
      <c r="A8" s="753">
        <v>4213780</v>
      </c>
      <c r="B8" s="753" t="s">
        <v>180</v>
      </c>
    </row>
    <row r="9" spans="1:2" ht="11.25" customHeight="1">
      <c r="A9" s="753">
        <v>4213779</v>
      </c>
      <c r="B9" s="753" t="s">
        <v>793</v>
      </c>
    </row>
    <row r="10" spans="1:2" ht="11.25" customHeight="1">
      <c r="A10" s="753">
        <v>4213783</v>
      </c>
      <c r="B10" s="753" t="s">
        <v>808</v>
      </c>
    </row>
    <row r="11" spans="1:2" ht="11.25" customHeight="1">
      <c r="A11" s="753">
        <v>4213782</v>
      </c>
      <c r="B11" s="753"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5"/>
    <col min="2" max="2" width="65.296875" style="1615" customWidth="1"/>
  </cols>
  <sheetData>
    <row r="1" spans="1:2" ht="11.25" customHeight="1">
      <c r="A1" s="753" t="s">
        <v>3346</v>
      </c>
      <c r="B1" s="753" t="s">
        <v>3348</v>
      </c>
    </row>
    <row r="2" spans="1:2" ht="11.25" customHeight="1">
      <c r="A2" s="753" t="s">
        <v>3349</v>
      </c>
      <c r="B2" s="753" t="s">
        <v>907</v>
      </c>
    </row>
    <row r="3" spans="1:2" ht="11.25" customHeight="1">
      <c r="A3" s="753" t="s">
        <v>382</v>
      </c>
      <c r="B3" s="753" t="s">
        <v>917</v>
      </c>
    </row>
    <row r="4" spans="1:2" ht="11.25" customHeight="1">
      <c r="A4" s="753" t="s">
        <v>3350</v>
      </c>
      <c r="B4" s="753" t="s">
        <v>926</v>
      </c>
    </row>
    <row r="5" spans="1:2" ht="11.25" customHeight="1">
      <c r="A5" s="753" t="s">
        <v>3351</v>
      </c>
      <c r="B5" s="753" t="s">
        <v>935</v>
      </c>
    </row>
    <row r="6" spans="1:2" ht="11.25" customHeight="1">
      <c r="A6" s="753" t="s">
        <v>3352</v>
      </c>
      <c r="B6" s="753" t="s">
        <v>941</v>
      </c>
    </row>
    <row r="7" spans="1:2" ht="11.25" customHeight="1">
      <c r="A7" s="753" t="s">
        <v>3353</v>
      </c>
      <c r="B7" s="753" t="s">
        <v>949</v>
      </c>
    </row>
    <row r="8" spans="1:2" ht="11.25" customHeight="1">
      <c r="A8" s="753" t="s">
        <v>3354</v>
      </c>
      <c r="B8" s="753" t="s">
        <v>956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Y3" zoomScale="90" workbookViewId="0">
      <selection activeCell="AG15" sqref="AG15"/>
    </sheetView>
  </sheetViews>
  <sheetFormatPr defaultColWidth="10.59765625" defaultRowHeight="14.25" customHeight="1"/>
  <cols>
    <col min="1" max="1" width="9.09765625" style="1557" hidden="1" customWidth="1"/>
    <col min="2" max="2" width="9.09765625" style="1560" hidden="1" customWidth="1"/>
    <col min="3" max="3" width="3.69921875" style="1770" customWidth="1"/>
    <col min="4" max="4" width="5.59765625" style="1560" customWidth="1"/>
    <col min="5" max="5" width="48.3984375" style="1560" customWidth="1"/>
    <col min="6" max="6" width="38.09765625" style="1560" customWidth="1"/>
    <col min="7" max="7" width="1.69921875" style="1560" hidden="1" customWidth="1"/>
    <col min="8" max="11" width="19.796875" style="1560" hidden="1" customWidth="1"/>
    <col min="12" max="12" width="9.69921875" style="1560" hidden="1" customWidth="1"/>
    <col min="13" max="18" width="19.796875" style="1560" hidden="1" customWidth="1"/>
    <col min="19" max="19" width="1.69921875" style="1560" hidden="1" customWidth="1"/>
    <col min="20" max="22" width="19.796875" style="1560" hidden="1" customWidth="1"/>
    <col min="23" max="23" width="1.69921875" style="1560" hidden="1" customWidth="1"/>
    <col min="24" max="26" width="19.796875" style="1560" customWidth="1"/>
    <col min="27" max="27" width="1.69921875" style="1560" hidden="1" customWidth="1"/>
    <col min="28" max="29" width="19.796875" style="1560" hidden="1" customWidth="1"/>
    <col min="30" max="30" width="1.69921875" style="1560" hidden="1" customWidth="1"/>
    <col min="31" max="32" width="103.69921875" style="1560" hidden="1" customWidth="1"/>
    <col min="33" max="33" width="103.69921875" style="1560" customWidth="1"/>
    <col min="34" max="34" width="103.69921875" style="1560" hidden="1" customWidth="1"/>
    <col min="35" max="35" width="3.69921875" style="1748" customWidth="1"/>
    <col min="36" max="38" width="10.59765625" style="1567"/>
    <col min="39" max="39" width="13.69921875" style="1567" hidden="1" customWidth="1"/>
    <col min="40" max="40" width="15.3984375" style="1567" customWidth="1"/>
    <col min="41" max="41" width="16.296875" style="1567" customWidth="1"/>
    <col min="42" max="45" width="10.59765625" style="1567"/>
  </cols>
  <sheetData>
    <row r="1" spans="1:45" ht="14.25" hidden="1" customHeight="1">
      <c r="E1" s="342"/>
      <c r="F1" s="342"/>
      <c r="G1" s="342"/>
      <c r="H1" s="1943" t="s">
        <v>352</v>
      </c>
      <c r="I1" s="1943"/>
      <c r="J1" s="1943"/>
      <c r="K1" s="1943"/>
      <c r="L1" s="1943"/>
      <c r="M1" s="1943"/>
      <c r="N1" s="1943"/>
      <c r="O1" s="1943"/>
      <c r="P1" s="1943"/>
      <c r="Q1" s="1943"/>
      <c r="R1" s="1943"/>
      <c r="T1" s="1943" t="s">
        <v>353</v>
      </c>
      <c r="U1" s="1943"/>
      <c r="V1" s="1943"/>
      <c r="X1" s="1943" t="s">
        <v>354</v>
      </c>
      <c r="Y1" s="1943"/>
      <c r="Z1" s="1943"/>
      <c r="AB1" s="1943" t="s">
        <v>355</v>
      </c>
      <c r="AC1" s="1943"/>
    </row>
    <row r="2" spans="1:45" ht="14.25" hidden="1" customHeight="1"/>
    <row r="3" spans="1:45" s="1539" customFormat="1" ht="6" customHeight="1">
      <c r="C3" s="620"/>
      <c r="D3" s="621"/>
      <c r="E3" s="621"/>
      <c r="F3" s="621"/>
      <c r="G3" s="621"/>
      <c r="H3" s="621" t="s">
        <v>356</v>
      </c>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J3" s="437"/>
      <c r="AK3" s="437"/>
      <c r="AL3" s="437"/>
      <c r="AM3" s="437"/>
      <c r="AN3" s="437"/>
      <c r="AO3" s="437"/>
      <c r="AP3" s="437"/>
      <c r="AQ3" s="437"/>
      <c r="AR3" s="437"/>
      <c r="AS3" s="437"/>
    </row>
    <row r="4" spans="1:45" ht="24" customHeight="1">
      <c r="C4" s="377"/>
      <c r="D4" s="1833" t="str">
        <f>"Форма 2. Общая информация об объектах "&amp;TEMPLATE_SPHERE_RUS&amp;" регулируемой организации"&amp;IF(TEMPLATE_SPHERE="HEAT",",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f>
        <v>Форма 2. Общая информация об объектах холодного водоснабжения регулируемой организации</v>
      </c>
      <c r="E4" s="1834"/>
      <c r="F4" s="1834"/>
      <c r="G4" s="1834"/>
      <c r="H4" s="1834"/>
      <c r="I4" s="1834"/>
      <c r="J4" s="1834"/>
      <c r="K4" s="1834"/>
      <c r="L4" s="1834"/>
      <c r="M4" s="1834"/>
      <c r="N4" s="1834"/>
      <c r="O4" s="1834"/>
      <c r="P4" s="1834"/>
      <c r="Q4" s="1834"/>
      <c r="R4" s="1835"/>
      <c r="S4" s="771"/>
      <c r="T4" s="619"/>
      <c r="U4" s="619"/>
      <c r="V4" s="619"/>
      <c r="W4" s="619"/>
      <c r="X4" s="619"/>
      <c r="Y4" s="619"/>
      <c r="Z4" s="619"/>
      <c r="AA4" s="619"/>
      <c r="AB4" s="619"/>
      <c r="AC4" s="619"/>
      <c r="AD4" s="619"/>
      <c r="AE4" s="417"/>
      <c r="AF4" s="417"/>
      <c r="AG4" s="417"/>
      <c r="AH4" s="417"/>
      <c r="AI4" s="414"/>
    </row>
    <row r="5" spans="1:45" s="1560" customFormat="1" ht="17.25" customHeight="1">
      <c r="A5" s="678"/>
      <c r="C5" s="740"/>
      <c r="D5" s="1940" t="str">
        <f>IF(org=0,"Не определено",org)</f>
        <v>НАО "СВЕЗА Мантурово"</v>
      </c>
      <c r="E5" s="1941"/>
      <c r="F5" s="1941"/>
      <c r="G5" s="1941"/>
      <c r="H5" s="1941"/>
      <c r="I5" s="1941"/>
      <c r="J5" s="1941"/>
      <c r="K5" s="1941"/>
      <c r="L5" s="1941"/>
      <c r="M5" s="1941"/>
      <c r="N5" s="1941"/>
      <c r="O5" s="1941"/>
      <c r="P5" s="1941"/>
      <c r="Q5" s="1941"/>
      <c r="R5" s="1942"/>
      <c r="S5" s="771"/>
      <c r="T5" s="619"/>
      <c r="U5" s="619"/>
      <c r="V5" s="619"/>
      <c r="W5" s="619"/>
      <c r="X5" s="619"/>
      <c r="Y5" s="619"/>
      <c r="Z5" s="619"/>
      <c r="AA5" s="619"/>
      <c r="AB5" s="619"/>
      <c r="AC5" s="619"/>
      <c r="AD5" s="619"/>
      <c r="AE5" s="417"/>
      <c r="AF5" s="417"/>
      <c r="AG5" s="417"/>
      <c r="AH5" s="417"/>
      <c r="AI5" s="414"/>
      <c r="AJ5" s="437"/>
      <c r="AK5" s="437"/>
      <c r="AL5" s="437"/>
      <c r="AM5" s="437"/>
      <c r="AN5" s="437"/>
      <c r="AO5" s="437"/>
      <c r="AP5" s="437"/>
      <c r="AQ5" s="437"/>
      <c r="AR5" s="437"/>
      <c r="AS5" s="437"/>
    </row>
    <row r="6" spans="1:45" s="1538" customFormat="1" ht="11.25" customHeight="1">
      <c r="A6" s="405"/>
      <c r="C6" s="412"/>
      <c r="D6" s="411"/>
      <c r="E6" s="411"/>
      <c r="F6" s="411"/>
      <c r="G6" s="411"/>
      <c r="H6" s="411"/>
      <c r="I6" s="411"/>
      <c r="J6" s="411"/>
      <c r="K6" s="411"/>
      <c r="L6" s="411"/>
      <c r="M6" s="411"/>
      <c r="N6" s="411"/>
      <c r="O6" s="411"/>
      <c r="P6" s="411"/>
      <c r="Q6" s="411"/>
      <c r="R6" s="671"/>
      <c r="S6" s="671"/>
      <c r="T6" s="411"/>
      <c r="U6" s="411"/>
      <c r="V6" s="631"/>
      <c r="W6" s="631"/>
      <c r="X6" s="411"/>
      <c r="Y6" s="411"/>
      <c r="Z6" s="631"/>
      <c r="AA6" s="631"/>
      <c r="AB6" s="411"/>
      <c r="AC6" s="631"/>
      <c r="AD6" s="631"/>
      <c r="AE6" s="411"/>
      <c r="AF6" s="411"/>
      <c r="AG6" s="411"/>
      <c r="AH6" s="411"/>
      <c r="AJ6" s="415"/>
      <c r="AK6" s="415"/>
      <c r="AL6" s="415"/>
      <c r="AM6" s="415"/>
      <c r="AN6" s="415"/>
      <c r="AO6" s="415"/>
      <c r="AP6" s="415"/>
      <c r="AQ6" s="415"/>
      <c r="AR6" s="415"/>
      <c r="AS6" s="415"/>
    </row>
    <row r="7" spans="1:45" ht="14.25" customHeight="1">
      <c r="C7" s="377"/>
      <c r="D7" s="1931" t="s">
        <v>282</v>
      </c>
      <c r="E7" s="1944"/>
      <c r="F7" s="1944"/>
      <c r="G7" s="1944"/>
      <c r="H7" s="1944"/>
      <c r="I7" s="1944"/>
      <c r="J7" s="1944"/>
      <c r="K7" s="1944"/>
      <c r="L7" s="1944"/>
      <c r="M7" s="1944"/>
      <c r="N7" s="1944"/>
      <c r="O7" s="1944"/>
      <c r="P7" s="1944"/>
      <c r="Q7" s="1944"/>
      <c r="R7" s="1944"/>
      <c r="S7" s="1944"/>
      <c r="T7" s="1944"/>
      <c r="U7" s="1944"/>
      <c r="V7" s="1944"/>
      <c r="W7" s="1944"/>
      <c r="X7" s="1944"/>
      <c r="Y7" s="1944"/>
      <c r="Z7" s="1944"/>
      <c r="AA7" s="1944"/>
      <c r="AB7" s="1944"/>
      <c r="AC7" s="1944"/>
      <c r="AD7" s="1945"/>
      <c r="AE7" s="1892" t="s">
        <v>283</v>
      </c>
      <c r="AF7" s="1892" t="s">
        <v>283</v>
      </c>
      <c r="AG7" s="1892" t="s">
        <v>283</v>
      </c>
      <c r="AH7" s="1892" t="s">
        <v>283</v>
      </c>
    </row>
    <row r="8" spans="1:45" ht="25.5" customHeight="1">
      <c r="C8" s="377"/>
      <c r="D8" s="1840" t="s">
        <v>87</v>
      </c>
      <c r="E8" s="1892" t="str">
        <f>"Наименование "&amp;IF(TEMPLATE_SPHERE&lt;&gt;"HEAT","централизованной ","")&amp;"системы "&amp;TEMPLATE_SPHERE_RUS</f>
        <v>Наименование централизованной системы холодного водоснабжения</v>
      </c>
      <c r="F8" s="1892" t="str">
        <f>IF(TEMPLATE_SPHERE&lt;&gt;"HEAT","Регулируемый вид деятельности","Вид регулируемой деятельности")</f>
        <v>Регулируемый вид деятельности</v>
      </c>
      <c r="G8" s="746"/>
      <c r="H8" s="1932" t="s">
        <v>357</v>
      </c>
      <c r="I8" s="1936" t="s">
        <v>358</v>
      </c>
      <c r="J8" s="1892" t="s">
        <v>359</v>
      </c>
      <c r="K8" s="1892"/>
      <c r="L8" s="1892"/>
      <c r="M8" s="1931"/>
      <c r="N8" s="1892" t="s">
        <v>360</v>
      </c>
      <c r="O8" s="1892"/>
      <c r="P8" s="1892" t="s">
        <v>361</v>
      </c>
      <c r="Q8" s="1892"/>
      <c r="R8" s="1934" t="s">
        <v>362</v>
      </c>
      <c r="S8" s="742"/>
      <c r="T8" s="1932" t="s">
        <v>363</v>
      </c>
      <c r="U8" s="1932" t="s">
        <v>364</v>
      </c>
      <c r="V8" s="1932" t="s">
        <v>365</v>
      </c>
      <c r="W8" s="744"/>
      <c r="X8" s="1932" t="s">
        <v>366</v>
      </c>
      <c r="Y8" s="1932" t="s">
        <v>367</v>
      </c>
      <c r="Z8" s="1932" t="s">
        <v>368</v>
      </c>
      <c r="AA8" s="744"/>
      <c r="AB8" s="1932" t="s">
        <v>369</v>
      </c>
      <c r="AC8" s="1932" t="s">
        <v>362</v>
      </c>
      <c r="AD8" s="744"/>
      <c r="AE8" s="1892"/>
      <c r="AF8" s="1892"/>
      <c r="AG8" s="1892"/>
      <c r="AH8" s="1892"/>
    </row>
    <row r="9" spans="1:45" ht="33.75" customHeight="1">
      <c r="C9" s="377"/>
      <c r="D9" s="1840"/>
      <c r="E9" s="1892"/>
      <c r="F9" s="1892"/>
      <c r="G9" s="747"/>
      <c r="H9" s="1933"/>
      <c r="I9" s="1937"/>
      <c r="J9" s="353" t="s">
        <v>370</v>
      </c>
      <c r="K9" s="353" t="s">
        <v>371</v>
      </c>
      <c r="L9" s="353" t="s">
        <v>372</v>
      </c>
      <c r="M9" s="358" t="s">
        <v>373</v>
      </c>
      <c r="N9" s="353" t="s">
        <v>374</v>
      </c>
      <c r="O9" s="353" t="s">
        <v>373</v>
      </c>
      <c r="P9" s="353" t="s">
        <v>375</v>
      </c>
      <c r="Q9" s="353" t="s">
        <v>373</v>
      </c>
      <c r="R9" s="1935"/>
      <c r="S9" s="743"/>
      <c r="T9" s="1933"/>
      <c r="U9" s="1933"/>
      <c r="V9" s="1933"/>
      <c r="W9" s="745"/>
      <c r="X9" s="1933"/>
      <c r="Y9" s="1933"/>
      <c r="Z9" s="1933"/>
      <c r="AA9" s="745"/>
      <c r="AB9" s="1933"/>
      <c r="AC9" s="1933"/>
      <c r="AD9" s="745"/>
      <c r="AE9" s="1892"/>
      <c r="AF9" s="1892"/>
      <c r="AG9" s="1892"/>
      <c r="AH9" s="1892"/>
    </row>
    <row r="10" spans="1:45" ht="12" hidden="1" customHeight="1">
      <c r="C10" s="413"/>
      <c r="D10" s="376"/>
      <c r="E10" s="376"/>
      <c r="F10" s="376"/>
      <c r="G10" s="376"/>
      <c r="H10" s="376"/>
      <c r="I10" s="376"/>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5"/>
      <c r="AP10" s="426"/>
      <c r="AQ10" s="426"/>
    </row>
    <row r="11" spans="1:45" s="1566" customFormat="1" ht="11.25" hidden="1" customHeight="1">
      <c r="C11" s="424"/>
      <c r="D11" s="425" t="s">
        <v>376</v>
      </c>
      <c r="E11" s="425"/>
      <c r="F11" s="425"/>
      <c r="G11" s="425"/>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363"/>
      <c r="AF11" s="363"/>
      <c r="AG11" s="363"/>
      <c r="AH11" s="363"/>
      <c r="AJ11" s="415"/>
      <c r="AK11" s="415"/>
      <c r="AL11" s="415"/>
      <c r="AM11" s="415"/>
      <c r="AN11" s="415"/>
      <c r="AO11" s="415"/>
      <c r="AP11" s="415"/>
      <c r="AQ11" s="415"/>
      <c r="AR11" s="415"/>
      <c r="AS11" s="415"/>
    </row>
    <row r="12" spans="1:45" ht="14.25" customHeight="1">
      <c r="A12" s="375"/>
      <c r="C12" s="377"/>
      <c r="D12" s="362" t="s">
        <v>105</v>
      </c>
      <c r="E12" s="1705" t="s">
        <v>377</v>
      </c>
      <c r="F12" s="773" t="str">
        <f>INDEX(COLDVSNA_PT_VED_NAME,MATCH(4189672,COLDVSNA_PT_VED_ID,0))</f>
        <v>Холодное водоснабжение. Техническая вода</v>
      </c>
      <c r="G12" s="774"/>
      <c r="H12" s="1706"/>
      <c r="I12" s="1706"/>
      <c r="J12" s="361"/>
      <c r="K12" s="360"/>
      <c r="L12" s="359"/>
      <c r="M12" s="360"/>
      <c r="N12" s="361"/>
      <c r="O12" s="360"/>
      <c r="P12" s="361"/>
      <c r="Q12" s="360"/>
      <c r="R12" s="361"/>
      <c r="S12" s="772"/>
      <c r="T12" s="1706"/>
      <c r="U12" s="361"/>
      <c r="V12" s="361"/>
      <c r="W12" s="745"/>
      <c r="X12" s="1706">
        <v>2.5000000000000001E-2</v>
      </c>
      <c r="Y12" s="361">
        <v>0</v>
      </c>
      <c r="Z12" s="361">
        <v>1</v>
      </c>
      <c r="AA12" s="745"/>
      <c r="AB12" s="1706"/>
      <c r="AC12" s="361"/>
      <c r="AD12" s="745"/>
      <c r="AE12" s="1938" t="s">
        <v>378</v>
      </c>
      <c r="AF12" s="1938" t="s">
        <v>379</v>
      </c>
      <c r="AG12" s="1938" t="s">
        <v>380</v>
      </c>
      <c r="AH12" s="1938" t="s">
        <v>381</v>
      </c>
      <c r="AI12" s="375"/>
      <c r="AM12" s="437" t="s">
        <v>382</v>
      </c>
      <c r="AP12" s="426" t="s">
        <v>383</v>
      </c>
      <c r="AQ12" s="426" t="s">
        <v>383</v>
      </c>
    </row>
    <row r="13" spans="1:45" ht="17.25" customHeight="1">
      <c r="A13" s="375"/>
      <c r="C13" s="377"/>
      <c r="D13" s="335"/>
      <c r="E13" s="786" t="str">
        <f>IF(TITLE_DIFFERENTIATION_TYPE="нет","","Добавить систему")</f>
        <v/>
      </c>
      <c r="F13" s="786" t="str">
        <f>IF(TITLE_DIFFERENTIATION_TYPE="нет","Добавить вид деятельности","")</f>
        <v>Добавить вид деятельности</v>
      </c>
      <c r="G13" s="229"/>
      <c r="H13" s="336"/>
      <c r="I13" s="336"/>
      <c r="J13" s="336"/>
      <c r="K13" s="336"/>
      <c r="L13" s="336"/>
      <c r="M13" s="336"/>
      <c r="N13" s="336"/>
      <c r="O13" s="336"/>
      <c r="P13" s="336"/>
      <c r="Q13" s="336"/>
      <c r="R13" s="336"/>
      <c r="S13" s="336"/>
      <c r="T13" s="336"/>
      <c r="U13" s="336"/>
      <c r="V13" s="336"/>
      <c r="W13" s="336"/>
      <c r="X13" s="336"/>
      <c r="Y13" s="336"/>
      <c r="Z13" s="336"/>
      <c r="AA13" s="336"/>
      <c r="AB13" s="336"/>
      <c r="AC13" s="336"/>
      <c r="AD13" s="775"/>
      <c r="AE13" s="1939"/>
      <c r="AF13" s="1939"/>
      <c r="AG13" s="1939"/>
      <c r="AH13" s="1939"/>
      <c r="AI13" s="375"/>
    </row>
    <row r="14" spans="1:45" ht="14.25" customHeight="1">
      <c r="AI14" s="375"/>
    </row>
    <row r="15" spans="1:45" ht="14.25" customHeight="1">
      <c r="E15" s="677"/>
      <c r="L15" s="677"/>
    </row>
    <row r="16" spans="1:45" ht="14.25" customHeight="1">
      <c r="L16" s="677"/>
    </row>
    <row r="17" spans="12:12" ht="14.25" customHeight="1">
      <c r="L17" s="677"/>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O12 Q12 K12 M12 H12:I12 T12 X12 AB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2985</v>
      </c>
      <c r="B1" t="s">
        <v>2986</v>
      </c>
      <c r="C1" t="s">
        <v>2987</v>
      </c>
      <c r="D1" t="s">
        <v>2988</v>
      </c>
      <c r="E1" t="s">
        <v>2989</v>
      </c>
      <c r="F1" t="s">
        <v>2990</v>
      </c>
      <c r="G1" t="s">
        <v>2991</v>
      </c>
    </row>
    <row r="2" spans="1:7" ht="11.25" customHeight="1">
      <c r="A2" t="s">
        <v>14</v>
      </c>
      <c r="B2" t="s">
        <v>2992</v>
      </c>
      <c r="C2" t="s">
        <v>2993</v>
      </c>
      <c r="D2" t="s">
        <v>2992</v>
      </c>
      <c r="E2" t="s">
        <v>2993</v>
      </c>
      <c r="F2" t="s">
        <v>2994</v>
      </c>
      <c r="G2" t="s">
        <v>105</v>
      </c>
    </row>
    <row r="3" spans="1:7" ht="11.25" customHeight="1">
      <c r="A3" t="s">
        <v>14</v>
      </c>
      <c r="B3" t="s">
        <v>2992</v>
      </c>
      <c r="C3" t="s">
        <v>2993</v>
      </c>
      <c r="D3" t="s">
        <v>2995</v>
      </c>
      <c r="E3" t="s">
        <v>2996</v>
      </c>
      <c r="F3" t="s">
        <v>2997</v>
      </c>
      <c r="G3" t="s">
        <v>106</v>
      </c>
    </row>
    <row r="4" spans="1:7" ht="11.25" customHeight="1">
      <c r="A4" t="s">
        <v>14</v>
      </c>
      <c r="B4" t="s">
        <v>2992</v>
      </c>
      <c r="C4" t="s">
        <v>2993</v>
      </c>
      <c r="D4" t="s">
        <v>2998</v>
      </c>
      <c r="E4" t="s">
        <v>2999</v>
      </c>
      <c r="F4" t="s">
        <v>2997</v>
      </c>
      <c r="G4" t="s">
        <v>89</v>
      </c>
    </row>
    <row r="5" spans="1:7" ht="11.25" customHeight="1">
      <c r="A5" t="s">
        <v>14</v>
      </c>
      <c r="B5" t="s">
        <v>2992</v>
      </c>
      <c r="C5" t="s">
        <v>2993</v>
      </c>
      <c r="D5" t="s">
        <v>3000</v>
      </c>
      <c r="E5" t="s">
        <v>3001</v>
      </c>
      <c r="F5" t="s">
        <v>2997</v>
      </c>
      <c r="G5" t="s">
        <v>90</v>
      </c>
    </row>
    <row r="6" spans="1:7" ht="11.25" customHeight="1">
      <c r="A6" t="s">
        <v>14</v>
      </c>
      <c r="B6" t="s">
        <v>2992</v>
      </c>
      <c r="C6" t="s">
        <v>2993</v>
      </c>
      <c r="D6" t="s">
        <v>3002</v>
      </c>
      <c r="E6" t="s">
        <v>3003</v>
      </c>
      <c r="F6" t="s">
        <v>2997</v>
      </c>
      <c r="G6" t="s">
        <v>107</v>
      </c>
    </row>
    <row r="7" spans="1:7" ht="11.25" customHeight="1">
      <c r="A7" t="s">
        <v>14</v>
      </c>
      <c r="B7" t="s">
        <v>3004</v>
      </c>
      <c r="C7" t="s">
        <v>3005</v>
      </c>
      <c r="D7" t="s">
        <v>3006</v>
      </c>
      <c r="E7" t="s">
        <v>3007</v>
      </c>
      <c r="F7" t="s">
        <v>2997</v>
      </c>
      <c r="G7" t="s">
        <v>91</v>
      </c>
    </row>
    <row r="8" spans="1:7" ht="11.25" customHeight="1">
      <c r="A8" t="s">
        <v>14</v>
      </c>
      <c r="B8" t="s">
        <v>3004</v>
      </c>
      <c r="C8" t="s">
        <v>3005</v>
      </c>
      <c r="D8" t="s">
        <v>3004</v>
      </c>
      <c r="E8" t="s">
        <v>3005</v>
      </c>
      <c r="F8" t="s">
        <v>2994</v>
      </c>
      <c r="G8" t="s">
        <v>92</v>
      </c>
    </row>
    <row r="9" spans="1:7" ht="11.25" customHeight="1">
      <c r="A9" t="s">
        <v>14</v>
      </c>
      <c r="B9" t="s">
        <v>3004</v>
      </c>
      <c r="C9" t="s">
        <v>3005</v>
      </c>
      <c r="D9" t="s">
        <v>3008</v>
      </c>
      <c r="E9" t="s">
        <v>3009</v>
      </c>
      <c r="F9" t="s">
        <v>2997</v>
      </c>
      <c r="G9" t="s">
        <v>108</v>
      </c>
    </row>
    <row r="10" spans="1:7" ht="11.25" customHeight="1">
      <c r="A10" t="s">
        <v>14</v>
      </c>
      <c r="B10" t="s">
        <v>3004</v>
      </c>
      <c r="C10" t="s">
        <v>3005</v>
      </c>
      <c r="D10" t="s">
        <v>3010</v>
      </c>
      <c r="E10" t="s">
        <v>3011</v>
      </c>
      <c r="F10" t="s">
        <v>3012</v>
      </c>
      <c r="G10" t="s">
        <v>144</v>
      </c>
    </row>
    <row r="11" spans="1:7" ht="11.25" customHeight="1">
      <c r="A11" t="s">
        <v>14</v>
      </c>
      <c r="B11" t="s">
        <v>3013</v>
      </c>
      <c r="C11" t="s">
        <v>3014</v>
      </c>
      <c r="D11" t="s">
        <v>3015</v>
      </c>
      <c r="E11" t="s">
        <v>3016</v>
      </c>
      <c r="F11" t="s">
        <v>2997</v>
      </c>
      <c r="G11" t="s">
        <v>145</v>
      </c>
    </row>
    <row r="12" spans="1:7" ht="11.25" customHeight="1">
      <c r="A12" t="s">
        <v>14</v>
      </c>
      <c r="B12" t="s">
        <v>3013</v>
      </c>
      <c r="C12" t="s">
        <v>3014</v>
      </c>
      <c r="D12" t="s">
        <v>3017</v>
      </c>
      <c r="E12" t="s">
        <v>3018</v>
      </c>
      <c r="F12" t="s">
        <v>2997</v>
      </c>
      <c r="G12" t="s">
        <v>146</v>
      </c>
    </row>
    <row r="13" spans="1:7" ht="11.25" customHeight="1">
      <c r="A13" t="s">
        <v>14</v>
      </c>
      <c r="B13" t="s">
        <v>3013</v>
      </c>
      <c r="C13" t="s">
        <v>3014</v>
      </c>
      <c r="D13" t="s">
        <v>3013</v>
      </c>
      <c r="E13" t="s">
        <v>3014</v>
      </c>
      <c r="F13" t="s">
        <v>2994</v>
      </c>
      <c r="G13" t="s">
        <v>147</v>
      </c>
    </row>
    <row r="14" spans="1:7" ht="11.25" customHeight="1">
      <c r="A14" t="s">
        <v>14</v>
      </c>
      <c r="B14" t="s">
        <v>3013</v>
      </c>
      <c r="C14" t="s">
        <v>3014</v>
      </c>
      <c r="D14" t="s">
        <v>3019</v>
      </c>
      <c r="E14" t="s">
        <v>3020</v>
      </c>
      <c r="F14" t="s">
        <v>2997</v>
      </c>
      <c r="G14" t="s">
        <v>148</v>
      </c>
    </row>
    <row r="15" spans="1:7" ht="11.25" customHeight="1">
      <c r="A15" t="s">
        <v>14</v>
      </c>
      <c r="B15" t="s">
        <v>3013</v>
      </c>
      <c r="C15" t="s">
        <v>3014</v>
      </c>
      <c r="D15" t="s">
        <v>3021</v>
      </c>
      <c r="E15" t="s">
        <v>3022</v>
      </c>
      <c r="F15" t="s">
        <v>2997</v>
      </c>
      <c r="G15" t="s">
        <v>149</v>
      </c>
    </row>
    <row r="16" spans="1:7" ht="11.25" customHeight="1">
      <c r="A16" t="s">
        <v>14</v>
      </c>
      <c r="B16" t="s">
        <v>3013</v>
      </c>
      <c r="C16" t="s">
        <v>3014</v>
      </c>
      <c r="D16" t="s">
        <v>3023</v>
      </c>
      <c r="E16" t="s">
        <v>3024</v>
      </c>
      <c r="F16" t="s">
        <v>2997</v>
      </c>
      <c r="G16" t="s">
        <v>869</v>
      </c>
    </row>
    <row r="17" spans="1:7" ht="11.25" customHeight="1">
      <c r="A17" t="s">
        <v>14</v>
      </c>
      <c r="B17" t="s">
        <v>3025</v>
      </c>
      <c r="C17" t="s">
        <v>3026</v>
      </c>
      <c r="D17" t="s">
        <v>3027</v>
      </c>
      <c r="E17" t="s">
        <v>3028</v>
      </c>
      <c r="F17" t="s">
        <v>2997</v>
      </c>
      <c r="G17" t="s">
        <v>875</v>
      </c>
    </row>
    <row r="18" spans="1:7" ht="11.25" customHeight="1">
      <c r="A18" t="s">
        <v>14</v>
      </c>
      <c r="B18" t="s">
        <v>3025</v>
      </c>
      <c r="C18" t="s">
        <v>3026</v>
      </c>
      <c r="D18" t="s">
        <v>3025</v>
      </c>
      <c r="E18" t="s">
        <v>3026</v>
      </c>
      <c r="F18" t="s">
        <v>2994</v>
      </c>
      <c r="G18" t="s">
        <v>886</v>
      </c>
    </row>
    <row r="19" spans="1:7" ht="11.25" customHeight="1">
      <c r="A19" t="s">
        <v>14</v>
      </c>
      <c r="B19" t="s">
        <v>3025</v>
      </c>
      <c r="C19" t="s">
        <v>3026</v>
      </c>
      <c r="D19" t="s">
        <v>3029</v>
      </c>
      <c r="E19" t="s">
        <v>3030</v>
      </c>
      <c r="F19" t="s">
        <v>2997</v>
      </c>
      <c r="G19" t="s">
        <v>900</v>
      </c>
    </row>
    <row r="20" spans="1:7" ht="11.25" customHeight="1">
      <c r="A20" t="s">
        <v>14</v>
      </c>
      <c r="B20" t="s">
        <v>3025</v>
      </c>
      <c r="C20" t="s">
        <v>3026</v>
      </c>
      <c r="D20" t="s">
        <v>3031</v>
      </c>
      <c r="E20" t="s">
        <v>3032</v>
      </c>
      <c r="F20" t="s">
        <v>2997</v>
      </c>
      <c r="G20" t="s">
        <v>912</v>
      </c>
    </row>
    <row r="21" spans="1:7" ht="11.25" customHeight="1">
      <c r="A21" t="s">
        <v>14</v>
      </c>
      <c r="B21" t="s">
        <v>3025</v>
      </c>
      <c r="C21" t="s">
        <v>3026</v>
      </c>
      <c r="D21" t="s">
        <v>3033</v>
      </c>
      <c r="E21" t="s">
        <v>3034</v>
      </c>
      <c r="F21" t="s">
        <v>2997</v>
      </c>
      <c r="G21" t="s">
        <v>921</v>
      </c>
    </row>
    <row r="22" spans="1:7" ht="11.25" customHeight="1">
      <c r="A22" t="s">
        <v>14</v>
      </c>
      <c r="B22" t="s">
        <v>3025</v>
      </c>
      <c r="C22" t="s">
        <v>3026</v>
      </c>
      <c r="D22" t="s">
        <v>3035</v>
      </c>
      <c r="E22" t="s">
        <v>3036</v>
      </c>
      <c r="F22" t="s">
        <v>2997</v>
      </c>
      <c r="G22" t="s">
        <v>937</v>
      </c>
    </row>
    <row r="23" spans="1:7" ht="11.25" customHeight="1">
      <c r="A23" t="s">
        <v>14</v>
      </c>
      <c r="B23" t="s">
        <v>3037</v>
      </c>
      <c r="C23" t="s">
        <v>3038</v>
      </c>
      <c r="D23" t="s">
        <v>3039</v>
      </c>
      <c r="E23" t="s">
        <v>3040</v>
      </c>
      <c r="F23" t="s">
        <v>2997</v>
      </c>
      <c r="G23" t="s">
        <v>944</v>
      </c>
    </row>
    <row r="24" spans="1:7" ht="11.25" customHeight="1">
      <c r="A24" t="s">
        <v>14</v>
      </c>
      <c r="B24" t="s">
        <v>3037</v>
      </c>
      <c r="C24" t="s">
        <v>3038</v>
      </c>
      <c r="D24" t="s">
        <v>3041</v>
      </c>
      <c r="E24" t="s">
        <v>3042</v>
      </c>
      <c r="F24" t="s">
        <v>2997</v>
      </c>
      <c r="G24" t="s">
        <v>952</v>
      </c>
    </row>
    <row r="25" spans="1:7" ht="11.25" customHeight="1">
      <c r="A25" t="s">
        <v>14</v>
      </c>
      <c r="B25" t="s">
        <v>3037</v>
      </c>
      <c r="C25" t="s">
        <v>3038</v>
      </c>
      <c r="D25" t="s">
        <v>3043</v>
      </c>
      <c r="E25" t="s">
        <v>3044</v>
      </c>
      <c r="F25" t="s">
        <v>2997</v>
      </c>
      <c r="G25" t="s">
        <v>959</v>
      </c>
    </row>
    <row r="26" spans="1:7" ht="11.25" customHeight="1">
      <c r="A26" t="s">
        <v>14</v>
      </c>
      <c r="B26" t="s">
        <v>3037</v>
      </c>
      <c r="C26" t="s">
        <v>3038</v>
      </c>
      <c r="D26" t="s">
        <v>3045</v>
      </c>
      <c r="E26" t="s">
        <v>3046</v>
      </c>
      <c r="F26" t="s">
        <v>3047</v>
      </c>
      <c r="G26" t="s">
        <v>962</v>
      </c>
    </row>
    <row r="27" spans="1:7" ht="11.25" customHeight="1">
      <c r="A27" t="s">
        <v>14</v>
      </c>
      <c r="B27" t="s">
        <v>3037</v>
      </c>
      <c r="C27" t="s">
        <v>3038</v>
      </c>
      <c r="D27" t="s">
        <v>3037</v>
      </c>
      <c r="E27" t="s">
        <v>3038</v>
      </c>
      <c r="F27" t="s">
        <v>2994</v>
      </c>
      <c r="G27" t="s">
        <v>967</v>
      </c>
    </row>
    <row r="28" spans="1:7" ht="11.25" customHeight="1">
      <c r="A28" t="s">
        <v>14</v>
      </c>
      <c r="B28" t="s">
        <v>3037</v>
      </c>
      <c r="C28" t="s">
        <v>3038</v>
      </c>
      <c r="D28" t="s">
        <v>3048</v>
      </c>
      <c r="E28" t="s">
        <v>3049</v>
      </c>
      <c r="F28" t="s">
        <v>2997</v>
      </c>
      <c r="G28" t="s">
        <v>975</v>
      </c>
    </row>
    <row r="29" spans="1:7" ht="11.25" customHeight="1">
      <c r="A29" t="s">
        <v>14</v>
      </c>
      <c r="B29" t="s">
        <v>3050</v>
      </c>
      <c r="C29" t="s">
        <v>3051</v>
      </c>
      <c r="D29" t="s">
        <v>3052</v>
      </c>
      <c r="E29" t="s">
        <v>3053</v>
      </c>
      <c r="F29" t="s">
        <v>2997</v>
      </c>
      <c r="G29" t="s">
        <v>977</v>
      </c>
    </row>
    <row r="30" spans="1:7" ht="11.25" customHeight="1">
      <c r="A30" t="s">
        <v>14</v>
      </c>
      <c r="B30" t="s">
        <v>3050</v>
      </c>
      <c r="C30" t="s">
        <v>3051</v>
      </c>
      <c r="D30" t="s">
        <v>3054</v>
      </c>
      <c r="E30" t="s">
        <v>3055</v>
      </c>
      <c r="F30" t="s">
        <v>2997</v>
      </c>
      <c r="G30" t="s">
        <v>980</v>
      </c>
    </row>
    <row r="31" spans="1:7" ht="11.25" customHeight="1">
      <c r="A31" t="s">
        <v>14</v>
      </c>
      <c r="B31" t="s">
        <v>3050</v>
      </c>
      <c r="C31" t="s">
        <v>3051</v>
      </c>
      <c r="D31" t="s">
        <v>3056</v>
      </c>
      <c r="E31" t="s">
        <v>3057</v>
      </c>
      <c r="F31" t="s">
        <v>2997</v>
      </c>
      <c r="G31" t="s">
        <v>986</v>
      </c>
    </row>
    <row r="32" spans="1:7" ht="11.25" customHeight="1">
      <c r="A32" t="s">
        <v>14</v>
      </c>
      <c r="B32" t="s">
        <v>3050</v>
      </c>
      <c r="C32" t="s">
        <v>3051</v>
      </c>
      <c r="D32" t="s">
        <v>3050</v>
      </c>
      <c r="E32" t="s">
        <v>3051</v>
      </c>
      <c r="F32" t="s">
        <v>2994</v>
      </c>
      <c r="G32" t="s">
        <v>988</v>
      </c>
    </row>
    <row r="33" spans="1:7" ht="11.25" customHeight="1">
      <c r="A33" t="s">
        <v>14</v>
      </c>
      <c r="B33" t="s">
        <v>3050</v>
      </c>
      <c r="C33" t="s">
        <v>3051</v>
      </c>
      <c r="D33" t="s">
        <v>3058</v>
      </c>
      <c r="E33" t="s">
        <v>3059</v>
      </c>
      <c r="F33" t="s">
        <v>2997</v>
      </c>
      <c r="G33" t="s">
        <v>990</v>
      </c>
    </row>
    <row r="34" spans="1:7" ht="11.25" customHeight="1">
      <c r="A34" t="s">
        <v>14</v>
      </c>
      <c r="B34" t="s">
        <v>3050</v>
      </c>
      <c r="C34" t="s">
        <v>3051</v>
      </c>
      <c r="D34" t="s">
        <v>3060</v>
      </c>
      <c r="E34" t="s">
        <v>3061</v>
      </c>
      <c r="F34" t="s">
        <v>2997</v>
      </c>
      <c r="G34" t="s">
        <v>992</v>
      </c>
    </row>
    <row r="35" spans="1:7" ht="11.25" customHeight="1">
      <c r="A35" t="s">
        <v>14</v>
      </c>
      <c r="B35" t="s">
        <v>3050</v>
      </c>
      <c r="C35" t="s">
        <v>3051</v>
      </c>
      <c r="D35" t="s">
        <v>3062</v>
      </c>
      <c r="E35" t="s">
        <v>3063</v>
      </c>
      <c r="F35" t="s">
        <v>2997</v>
      </c>
      <c r="G35" t="s">
        <v>998</v>
      </c>
    </row>
    <row r="36" spans="1:7" ht="11.25" customHeight="1">
      <c r="A36" t="s">
        <v>14</v>
      </c>
      <c r="B36" t="s">
        <v>3050</v>
      </c>
      <c r="C36" t="s">
        <v>3051</v>
      </c>
      <c r="D36" t="s">
        <v>3064</v>
      </c>
      <c r="E36" t="s">
        <v>3065</v>
      </c>
      <c r="F36" t="s">
        <v>2997</v>
      </c>
      <c r="G36" t="s">
        <v>1003</v>
      </c>
    </row>
    <row r="37" spans="1:7" ht="11.25" customHeight="1">
      <c r="A37" t="s">
        <v>14</v>
      </c>
      <c r="B37" t="s">
        <v>3050</v>
      </c>
      <c r="C37" t="s">
        <v>3051</v>
      </c>
      <c r="D37" t="s">
        <v>3066</v>
      </c>
      <c r="E37" t="s">
        <v>3067</v>
      </c>
      <c r="F37" t="s">
        <v>3012</v>
      </c>
      <c r="G37" t="s">
        <v>1007</v>
      </c>
    </row>
    <row r="38" spans="1:7" ht="11.25" customHeight="1">
      <c r="A38" t="s">
        <v>14</v>
      </c>
      <c r="B38" t="s">
        <v>3068</v>
      </c>
      <c r="C38" t="s">
        <v>3069</v>
      </c>
      <c r="D38" t="s">
        <v>3068</v>
      </c>
      <c r="E38" t="s">
        <v>3069</v>
      </c>
      <c r="F38" t="s">
        <v>3070</v>
      </c>
      <c r="G38" t="s">
        <v>1015</v>
      </c>
    </row>
    <row r="39" spans="1:7" ht="11.25" customHeight="1">
      <c r="A39" t="s">
        <v>14</v>
      </c>
      <c r="B39" t="s">
        <v>3071</v>
      </c>
      <c r="C39" t="s">
        <v>3072</v>
      </c>
      <c r="D39" t="s">
        <v>3073</v>
      </c>
      <c r="E39" t="s">
        <v>3074</v>
      </c>
      <c r="F39" t="s">
        <v>2997</v>
      </c>
      <c r="G39" t="s">
        <v>1022</v>
      </c>
    </row>
    <row r="40" spans="1:7" ht="11.25" customHeight="1">
      <c r="A40" t="s">
        <v>14</v>
      </c>
      <c r="B40" t="s">
        <v>3071</v>
      </c>
      <c r="C40" t="s">
        <v>3072</v>
      </c>
      <c r="D40" t="s">
        <v>3075</v>
      </c>
      <c r="E40" t="s">
        <v>3076</v>
      </c>
      <c r="F40" t="s">
        <v>2997</v>
      </c>
      <c r="G40" t="s">
        <v>1029</v>
      </c>
    </row>
    <row r="41" spans="1:7" ht="11.25" customHeight="1">
      <c r="A41" t="s">
        <v>14</v>
      </c>
      <c r="B41" t="s">
        <v>3071</v>
      </c>
      <c r="C41" t="s">
        <v>3072</v>
      </c>
      <c r="D41" t="s">
        <v>3077</v>
      </c>
      <c r="E41" t="s">
        <v>3078</v>
      </c>
      <c r="F41" t="s">
        <v>2997</v>
      </c>
      <c r="G41" t="s">
        <v>1035</v>
      </c>
    </row>
    <row r="42" spans="1:7" ht="11.25" customHeight="1">
      <c r="A42" t="s">
        <v>14</v>
      </c>
      <c r="B42" t="s">
        <v>3071</v>
      </c>
      <c r="C42" t="s">
        <v>3072</v>
      </c>
      <c r="D42" t="s">
        <v>3071</v>
      </c>
      <c r="E42" t="s">
        <v>3072</v>
      </c>
      <c r="F42" t="s">
        <v>2994</v>
      </c>
      <c r="G42" t="s">
        <v>1040</v>
      </c>
    </row>
    <row r="43" spans="1:7" ht="11.25" customHeight="1">
      <c r="A43" t="s">
        <v>14</v>
      </c>
      <c r="B43" t="s">
        <v>3071</v>
      </c>
      <c r="C43" t="s">
        <v>3072</v>
      </c>
      <c r="D43" t="s">
        <v>3079</v>
      </c>
      <c r="E43" t="s">
        <v>3080</v>
      </c>
      <c r="F43" t="s">
        <v>2997</v>
      </c>
      <c r="G43" t="s">
        <v>1047</v>
      </c>
    </row>
    <row r="44" spans="1:7" ht="11.25" customHeight="1">
      <c r="A44" t="s">
        <v>14</v>
      </c>
      <c r="B44" t="s">
        <v>3071</v>
      </c>
      <c r="C44" t="s">
        <v>3072</v>
      </c>
      <c r="D44" t="s">
        <v>3081</v>
      </c>
      <c r="E44" t="s">
        <v>3082</v>
      </c>
      <c r="F44" t="s">
        <v>2997</v>
      </c>
      <c r="G44" t="s">
        <v>1056</v>
      </c>
    </row>
    <row r="45" spans="1:7" ht="11.25" customHeight="1">
      <c r="A45" t="s">
        <v>14</v>
      </c>
      <c r="B45" t="s">
        <v>3071</v>
      </c>
      <c r="C45" t="s">
        <v>3072</v>
      </c>
      <c r="D45" t="s">
        <v>3083</v>
      </c>
      <c r="E45" t="s">
        <v>3084</v>
      </c>
      <c r="F45" t="s">
        <v>2997</v>
      </c>
      <c r="G45" t="s">
        <v>1061</v>
      </c>
    </row>
    <row r="46" spans="1:7" ht="11.25" customHeight="1">
      <c r="A46" t="s">
        <v>14</v>
      </c>
      <c r="B46" t="s">
        <v>3071</v>
      </c>
      <c r="C46" t="s">
        <v>3072</v>
      </c>
      <c r="D46" t="s">
        <v>3085</v>
      </c>
      <c r="E46" t="s">
        <v>3086</v>
      </c>
      <c r="F46" t="s">
        <v>2997</v>
      </c>
      <c r="G46" t="s">
        <v>1066</v>
      </c>
    </row>
    <row r="47" spans="1:7" ht="11.25" customHeight="1">
      <c r="A47" t="s">
        <v>14</v>
      </c>
      <c r="B47" t="s">
        <v>3071</v>
      </c>
      <c r="C47" t="s">
        <v>3072</v>
      </c>
      <c r="D47" t="s">
        <v>3087</v>
      </c>
      <c r="E47" t="s">
        <v>3088</v>
      </c>
      <c r="F47" t="s">
        <v>2997</v>
      </c>
      <c r="G47" t="s">
        <v>1073</v>
      </c>
    </row>
    <row r="48" spans="1:7" ht="11.25" customHeight="1">
      <c r="A48" t="s">
        <v>14</v>
      </c>
      <c r="B48" t="s">
        <v>3071</v>
      </c>
      <c r="C48" t="s">
        <v>3072</v>
      </c>
      <c r="D48" t="s">
        <v>3089</v>
      </c>
      <c r="E48" t="s">
        <v>3090</v>
      </c>
      <c r="F48" t="s">
        <v>2997</v>
      </c>
      <c r="G48" t="s">
        <v>1079</v>
      </c>
    </row>
    <row r="49" spans="1:7" ht="11.25" customHeight="1">
      <c r="A49" t="s">
        <v>14</v>
      </c>
      <c r="B49" t="s">
        <v>3071</v>
      </c>
      <c r="C49" t="s">
        <v>3072</v>
      </c>
      <c r="D49" t="s">
        <v>3091</v>
      </c>
      <c r="E49" t="s">
        <v>3092</v>
      </c>
      <c r="F49" t="s">
        <v>2997</v>
      </c>
      <c r="G49" t="s">
        <v>1085</v>
      </c>
    </row>
    <row r="50" spans="1:7" ht="11.25" customHeight="1">
      <c r="A50" t="s">
        <v>14</v>
      </c>
      <c r="B50" t="s">
        <v>3071</v>
      </c>
      <c r="C50" t="s">
        <v>3072</v>
      </c>
      <c r="D50" t="s">
        <v>3093</v>
      </c>
      <c r="E50" t="s">
        <v>3094</v>
      </c>
      <c r="F50" t="s">
        <v>2997</v>
      </c>
      <c r="G50" t="s">
        <v>1090</v>
      </c>
    </row>
    <row r="51" spans="1:7" ht="11.25" customHeight="1">
      <c r="A51" t="s">
        <v>14</v>
      </c>
      <c r="B51" t="s">
        <v>3071</v>
      </c>
      <c r="C51" t="s">
        <v>3072</v>
      </c>
      <c r="D51" t="s">
        <v>3095</v>
      </c>
      <c r="E51" t="s">
        <v>3096</v>
      </c>
      <c r="F51" t="s">
        <v>2997</v>
      </c>
      <c r="G51" t="s">
        <v>1095</v>
      </c>
    </row>
    <row r="52" spans="1:7" ht="11.25" customHeight="1">
      <c r="A52" t="s">
        <v>14</v>
      </c>
      <c r="B52" t="s">
        <v>3071</v>
      </c>
      <c r="C52" t="s">
        <v>3072</v>
      </c>
      <c r="D52" t="s">
        <v>3097</v>
      </c>
      <c r="E52" t="s">
        <v>3098</v>
      </c>
      <c r="F52" t="s">
        <v>2997</v>
      </c>
      <c r="G52" t="s">
        <v>1099</v>
      </c>
    </row>
    <row r="53" spans="1:7" ht="11.25" customHeight="1">
      <c r="A53" t="s">
        <v>14</v>
      </c>
      <c r="B53" t="s">
        <v>3099</v>
      </c>
      <c r="C53" t="s">
        <v>3100</v>
      </c>
      <c r="D53" t="s">
        <v>3101</v>
      </c>
      <c r="E53" t="s">
        <v>3102</v>
      </c>
      <c r="F53" t="s">
        <v>2997</v>
      </c>
      <c r="G53" t="s">
        <v>1101</v>
      </c>
    </row>
    <row r="54" spans="1:7" ht="11.25" customHeight="1">
      <c r="A54" t="s">
        <v>14</v>
      </c>
      <c r="B54" t="s">
        <v>3099</v>
      </c>
      <c r="C54" t="s">
        <v>3100</v>
      </c>
      <c r="D54" t="s">
        <v>3103</v>
      </c>
      <c r="E54" t="s">
        <v>3104</v>
      </c>
      <c r="F54" t="s">
        <v>2997</v>
      </c>
      <c r="G54" t="s">
        <v>1104</v>
      </c>
    </row>
    <row r="55" spans="1:7" ht="11.25" customHeight="1">
      <c r="A55" t="s">
        <v>14</v>
      </c>
      <c r="B55" t="s">
        <v>3099</v>
      </c>
      <c r="C55" t="s">
        <v>3100</v>
      </c>
      <c r="D55" t="s">
        <v>3099</v>
      </c>
      <c r="E55" t="s">
        <v>3100</v>
      </c>
      <c r="F55" t="s">
        <v>2994</v>
      </c>
      <c r="G55" t="s">
        <v>1108</v>
      </c>
    </row>
    <row r="56" spans="1:7" ht="11.25" customHeight="1">
      <c r="A56" t="s">
        <v>14</v>
      </c>
      <c r="B56" t="s">
        <v>3099</v>
      </c>
      <c r="C56" t="s">
        <v>3100</v>
      </c>
      <c r="D56" t="s">
        <v>3105</v>
      </c>
      <c r="E56" t="s">
        <v>3106</v>
      </c>
      <c r="F56" t="s">
        <v>2997</v>
      </c>
      <c r="G56" t="s">
        <v>1111</v>
      </c>
    </row>
    <row r="57" spans="1:7" ht="11.25" customHeight="1">
      <c r="A57" t="s">
        <v>14</v>
      </c>
      <c r="B57" t="s">
        <v>3099</v>
      </c>
      <c r="C57" t="s">
        <v>3100</v>
      </c>
      <c r="D57" t="s">
        <v>3107</v>
      </c>
      <c r="E57" t="s">
        <v>3108</v>
      </c>
      <c r="F57" t="s">
        <v>2997</v>
      </c>
      <c r="G57" t="s">
        <v>1114</v>
      </c>
    </row>
    <row r="58" spans="1:7" ht="11.25" customHeight="1">
      <c r="A58" t="s">
        <v>14</v>
      </c>
      <c r="B58" t="s">
        <v>3099</v>
      </c>
      <c r="C58" t="s">
        <v>3100</v>
      </c>
      <c r="D58" t="s">
        <v>3109</v>
      </c>
      <c r="E58" t="s">
        <v>3110</v>
      </c>
      <c r="F58" t="s">
        <v>2997</v>
      </c>
      <c r="G58" t="s">
        <v>1117</v>
      </c>
    </row>
    <row r="59" spans="1:7" ht="11.25" customHeight="1">
      <c r="A59" t="s">
        <v>14</v>
      </c>
      <c r="B59" t="s">
        <v>3099</v>
      </c>
      <c r="C59" t="s">
        <v>3100</v>
      </c>
      <c r="D59" t="s">
        <v>3111</v>
      </c>
      <c r="E59" t="s">
        <v>3112</v>
      </c>
      <c r="F59" t="s">
        <v>2997</v>
      </c>
      <c r="G59" t="s">
        <v>1121</v>
      </c>
    </row>
    <row r="60" spans="1:7" ht="11.25" customHeight="1">
      <c r="A60" t="s">
        <v>14</v>
      </c>
      <c r="B60" t="s">
        <v>3099</v>
      </c>
      <c r="C60" t="s">
        <v>3100</v>
      </c>
      <c r="D60" t="s">
        <v>3113</v>
      </c>
      <c r="E60" t="s">
        <v>3114</v>
      </c>
      <c r="F60" t="s">
        <v>2997</v>
      </c>
      <c r="G60" t="s">
        <v>1124</v>
      </c>
    </row>
    <row r="61" spans="1:7" ht="11.25" customHeight="1">
      <c r="A61" t="s">
        <v>14</v>
      </c>
      <c r="B61" t="s">
        <v>3099</v>
      </c>
      <c r="C61" t="s">
        <v>3100</v>
      </c>
      <c r="D61" t="s">
        <v>3115</v>
      </c>
      <c r="E61" t="s">
        <v>3116</v>
      </c>
      <c r="F61" t="s">
        <v>3012</v>
      </c>
      <c r="G61" t="s">
        <v>3117</v>
      </c>
    </row>
    <row r="62" spans="1:7" ht="11.25" customHeight="1">
      <c r="A62" t="s">
        <v>14</v>
      </c>
      <c r="B62" t="s">
        <v>3118</v>
      </c>
      <c r="C62" t="s">
        <v>3119</v>
      </c>
      <c r="D62" t="s">
        <v>3120</v>
      </c>
      <c r="E62" t="s">
        <v>3121</v>
      </c>
      <c r="F62" t="s">
        <v>2997</v>
      </c>
      <c r="G62" t="s">
        <v>3122</v>
      </c>
    </row>
    <row r="63" spans="1:7" ht="11.25" customHeight="1">
      <c r="A63" t="s">
        <v>14</v>
      </c>
      <c r="B63" t="s">
        <v>3118</v>
      </c>
      <c r="C63" t="s">
        <v>3119</v>
      </c>
      <c r="D63" t="s">
        <v>3118</v>
      </c>
      <c r="E63" t="s">
        <v>3119</v>
      </c>
      <c r="F63" t="s">
        <v>2994</v>
      </c>
      <c r="G63" t="s">
        <v>3123</v>
      </c>
    </row>
    <row r="64" spans="1:7" ht="11.25" customHeight="1">
      <c r="A64" t="s">
        <v>14</v>
      </c>
      <c r="B64" t="s">
        <v>3118</v>
      </c>
      <c r="C64" t="s">
        <v>3119</v>
      </c>
      <c r="D64" t="s">
        <v>3124</v>
      </c>
      <c r="E64" t="s">
        <v>3125</v>
      </c>
      <c r="F64" t="s">
        <v>2997</v>
      </c>
      <c r="G64" t="s">
        <v>3126</v>
      </c>
    </row>
    <row r="65" spans="1:7" ht="11.25" customHeight="1">
      <c r="A65" t="s">
        <v>14</v>
      </c>
      <c r="B65" t="s">
        <v>3118</v>
      </c>
      <c r="C65" t="s">
        <v>3119</v>
      </c>
      <c r="D65" t="s">
        <v>3127</v>
      </c>
      <c r="E65" t="s">
        <v>3128</v>
      </c>
      <c r="F65" t="s">
        <v>2997</v>
      </c>
      <c r="G65" t="s">
        <v>3129</v>
      </c>
    </row>
    <row r="66" spans="1:7" ht="11.25" customHeight="1">
      <c r="A66" t="s">
        <v>14</v>
      </c>
      <c r="B66" t="s">
        <v>3118</v>
      </c>
      <c r="C66" t="s">
        <v>3119</v>
      </c>
      <c r="D66" t="s">
        <v>3130</v>
      </c>
      <c r="E66" t="s">
        <v>3131</v>
      </c>
      <c r="F66" t="s">
        <v>2997</v>
      </c>
      <c r="G66" t="s">
        <v>3132</v>
      </c>
    </row>
    <row r="67" spans="1:7" ht="11.25" customHeight="1">
      <c r="A67" t="s">
        <v>14</v>
      </c>
      <c r="B67" t="s">
        <v>3118</v>
      </c>
      <c r="C67" t="s">
        <v>3119</v>
      </c>
      <c r="D67" t="s">
        <v>3133</v>
      </c>
      <c r="E67" t="s">
        <v>3134</v>
      </c>
      <c r="F67" t="s">
        <v>2997</v>
      </c>
      <c r="G67" t="s">
        <v>1341</v>
      </c>
    </row>
    <row r="68" spans="1:7" ht="11.25" customHeight="1">
      <c r="A68" t="s">
        <v>14</v>
      </c>
      <c r="B68" t="s">
        <v>3118</v>
      </c>
      <c r="C68" t="s">
        <v>3119</v>
      </c>
      <c r="D68" t="s">
        <v>3135</v>
      </c>
      <c r="E68" t="s">
        <v>3136</v>
      </c>
      <c r="F68" t="s">
        <v>3047</v>
      </c>
      <c r="G68" t="s">
        <v>3137</v>
      </c>
    </row>
    <row r="69" spans="1:7" ht="11.25" customHeight="1">
      <c r="A69" t="s">
        <v>14</v>
      </c>
      <c r="B69" t="s">
        <v>395</v>
      </c>
      <c r="C69" t="s">
        <v>396</v>
      </c>
      <c r="D69" t="s">
        <v>395</v>
      </c>
      <c r="E69" t="s">
        <v>396</v>
      </c>
      <c r="F69" t="s">
        <v>3070</v>
      </c>
      <c r="G69" t="s">
        <v>394</v>
      </c>
    </row>
    <row r="70" spans="1:7" ht="11.25" customHeight="1">
      <c r="A70" t="s">
        <v>14</v>
      </c>
      <c r="B70" t="s">
        <v>3138</v>
      </c>
      <c r="C70" t="s">
        <v>3139</v>
      </c>
      <c r="D70" t="s">
        <v>3138</v>
      </c>
      <c r="E70" t="s">
        <v>3139</v>
      </c>
      <c r="F70" t="s">
        <v>3070</v>
      </c>
      <c r="G70" t="s">
        <v>3140</v>
      </c>
    </row>
    <row r="71" spans="1:7" ht="11.25" customHeight="1">
      <c r="A71" t="s">
        <v>14</v>
      </c>
      <c r="B71" t="s">
        <v>3141</v>
      </c>
      <c r="C71" t="s">
        <v>3142</v>
      </c>
      <c r="D71" t="s">
        <v>3141</v>
      </c>
      <c r="E71" t="s">
        <v>3142</v>
      </c>
      <c r="F71" t="s">
        <v>3070</v>
      </c>
      <c r="G71" t="s">
        <v>3143</v>
      </c>
    </row>
    <row r="72" spans="1:7" ht="11.25" customHeight="1">
      <c r="A72" t="s">
        <v>14</v>
      </c>
      <c r="B72" t="s">
        <v>3144</v>
      </c>
      <c r="C72" t="s">
        <v>3145</v>
      </c>
      <c r="D72" t="s">
        <v>3146</v>
      </c>
      <c r="E72" t="s">
        <v>3147</v>
      </c>
      <c r="F72" t="s">
        <v>2997</v>
      </c>
      <c r="G72" t="s">
        <v>3148</v>
      </c>
    </row>
    <row r="73" spans="1:7" ht="11.25" customHeight="1">
      <c r="A73" t="s">
        <v>14</v>
      </c>
      <c r="B73" t="s">
        <v>3144</v>
      </c>
      <c r="C73" t="s">
        <v>3145</v>
      </c>
      <c r="D73" t="s">
        <v>3149</v>
      </c>
      <c r="E73" t="s">
        <v>3150</v>
      </c>
      <c r="F73" t="s">
        <v>2997</v>
      </c>
      <c r="G73" t="s">
        <v>3151</v>
      </c>
    </row>
    <row r="74" spans="1:7" ht="11.25" customHeight="1">
      <c r="A74" t="s">
        <v>14</v>
      </c>
      <c r="B74" t="s">
        <v>3144</v>
      </c>
      <c r="C74" t="s">
        <v>3145</v>
      </c>
      <c r="D74" t="s">
        <v>3144</v>
      </c>
      <c r="E74" t="s">
        <v>3145</v>
      </c>
      <c r="F74" t="s">
        <v>2994</v>
      </c>
      <c r="G74" t="s">
        <v>3152</v>
      </c>
    </row>
    <row r="75" spans="1:7" ht="11.25" customHeight="1">
      <c r="A75" t="s">
        <v>14</v>
      </c>
      <c r="B75" t="s">
        <v>3144</v>
      </c>
      <c r="C75" t="s">
        <v>3145</v>
      </c>
      <c r="D75" t="s">
        <v>3153</v>
      </c>
      <c r="E75" t="s">
        <v>3154</v>
      </c>
      <c r="F75" t="s">
        <v>2997</v>
      </c>
      <c r="G75" t="s">
        <v>3155</v>
      </c>
    </row>
    <row r="76" spans="1:7" ht="11.25" customHeight="1">
      <c r="A76" t="s">
        <v>14</v>
      </c>
      <c r="B76" t="s">
        <v>3156</v>
      </c>
      <c r="C76" t="s">
        <v>3157</v>
      </c>
      <c r="D76" t="s">
        <v>3156</v>
      </c>
      <c r="E76" t="s">
        <v>3157</v>
      </c>
      <c r="F76" t="s">
        <v>3070</v>
      </c>
      <c r="G76" t="s">
        <v>3158</v>
      </c>
    </row>
    <row r="77" spans="1:7" ht="11.25" customHeight="1">
      <c r="A77" t="s">
        <v>14</v>
      </c>
      <c r="B77" t="s">
        <v>3159</v>
      </c>
      <c r="C77" t="s">
        <v>3160</v>
      </c>
      <c r="D77" t="s">
        <v>3161</v>
      </c>
      <c r="E77" t="s">
        <v>3162</v>
      </c>
      <c r="F77" t="s">
        <v>2997</v>
      </c>
      <c r="G77" t="s">
        <v>3163</v>
      </c>
    </row>
    <row r="78" spans="1:7" ht="11.25" customHeight="1">
      <c r="A78" t="s">
        <v>14</v>
      </c>
      <c r="B78" t="s">
        <v>3159</v>
      </c>
      <c r="C78" t="s">
        <v>3160</v>
      </c>
      <c r="D78" t="s">
        <v>3164</v>
      </c>
      <c r="E78" t="s">
        <v>3165</v>
      </c>
      <c r="F78" t="s">
        <v>2997</v>
      </c>
      <c r="G78" t="s">
        <v>3166</v>
      </c>
    </row>
    <row r="79" spans="1:7" ht="11.25" customHeight="1">
      <c r="A79" t="s">
        <v>14</v>
      </c>
      <c r="B79" t="s">
        <v>3159</v>
      </c>
      <c r="C79" t="s">
        <v>3160</v>
      </c>
      <c r="D79" t="s">
        <v>3159</v>
      </c>
      <c r="E79" t="s">
        <v>3160</v>
      </c>
      <c r="F79" t="s">
        <v>2994</v>
      </c>
      <c r="G79" t="s">
        <v>3167</v>
      </c>
    </row>
    <row r="80" spans="1:7" ht="11.25" customHeight="1">
      <c r="A80" t="s">
        <v>14</v>
      </c>
      <c r="B80" t="s">
        <v>3159</v>
      </c>
      <c r="C80" t="s">
        <v>3160</v>
      </c>
      <c r="D80" t="s">
        <v>3168</v>
      </c>
      <c r="E80" t="s">
        <v>3169</v>
      </c>
      <c r="F80" t="s">
        <v>2997</v>
      </c>
      <c r="G80" t="s">
        <v>3170</v>
      </c>
    </row>
    <row r="81" spans="1:7" ht="11.25" customHeight="1">
      <c r="A81" t="s">
        <v>14</v>
      </c>
      <c r="B81" t="s">
        <v>3159</v>
      </c>
      <c r="C81" t="s">
        <v>3160</v>
      </c>
      <c r="D81" t="s">
        <v>3171</v>
      </c>
      <c r="E81" t="s">
        <v>3172</v>
      </c>
      <c r="F81" t="s">
        <v>2997</v>
      </c>
      <c r="G81" t="s">
        <v>3173</v>
      </c>
    </row>
    <row r="82" spans="1:7" ht="11.25" customHeight="1">
      <c r="A82" t="s">
        <v>14</v>
      </c>
      <c r="B82" t="s">
        <v>3174</v>
      </c>
      <c r="C82" t="s">
        <v>3175</v>
      </c>
      <c r="D82" t="s">
        <v>3174</v>
      </c>
      <c r="E82" t="s">
        <v>3175</v>
      </c>
      <c r="F82" t="s">
        <v>3070</v>
      </c>
      <c r="G82" t="s">
        <v>3176</v>
      </c>
    </row>
    <row r="83" spans="1:7" ht="11.25" customHeight="1">
      <c r="A83" t="s">
        <v>14</v>
      </c>
      <c r="B83" t="s">
        <v>3177</v>
      </c>
      <c r="C83" t="s">
        <v>3178</v>
      </c>
      <c r="D83" t="s">
        <v>3179</v>
      </c>
      <c r="E83" t="s">
        <v>3180</v>
      </c>
      <c r="F83" t="s">
        <v>2997</v>
      </c>
      <c r="G83" t="s">
        <v>3181</v>
      </c>
    </row>
    <row r="84" spans="1:7" ht="11.25" customHeight="1">
      <c r="A84" t="s">
        <v>14</v>
      </c>
      <c r="B84" t="s">
        <v>3177</v>
      </c>
      <c r="C84" t="s">
        <v>3178</v>
      </c>
      <c r="D84" t="s">
        <v>3177</v>
      </c>
      <c r="E84" t="s">
        <v>3178</v>
      </c>
      <c r="F84" t="s">
        <v>2994</v>
      </c>
      <c r="G84" t="s">
        <v>3182</v>
      </c>
    </row>
    <row r="85" spans="1:7" ht="11.25" customHeight="1">
      <c r="A85" t="s">
        <v>14</v>
      </c>
      <c r="B85" t="s">
        <v>3177</v>
      </c>
      <c r="C85" t="s">
        <v>3178</v>
      </c>
      <c r="D85" t="s">
        <v>3183</v>
      </c>
      <c r="E85" t="s">
        <v>3184</v>
      </c>
      <c r="F85" t="s">
        <v>2997</v>
      </c>
      <c r="G85" t="s">
        <v>3185</v>
      </c>
    </row>
    <row r="86" spans="1:7" ht="11.25" customHeight="1">
      <c r="A86" t="s">
        <v>14</v>
      </c>
      <c r="B86" t="s">
        <v>3177</v>
      </c>
      <c r="C86" t="s">
        <v>3178</v>
      </c>
      <c r="D86" t="s">
        <v>3186</v>
      </c>
      <c r="E86" t="s">
        <v>3187</v>
      </c>
      <c r="F86" t="s">
        <v>2997</v>
      </c>
      <c r="G86" t="s">
        <v>3188</v>
      </c>
    </row>
    <row r="87" spans="1:7" ht="11.25" customHeight="1">
      <c r="A87" t="s">
        <v>14</v>
      </c>
      <c r="B87" t="s">
        <v>3189</v>
      </c>
      <c r="C87" t="s">
        <v>3190</v>
      </c>
      <c r="D87" t="s">
        <v>3189</v>
      </c>
      <c r="E87" t="s">
        <v>3190</v>
      </c>
      <c r="F87" t="s">
        <v>3070</v>
      </c>
      <c r="G87" t="s">
        <v>3191</v>
      </c>
    </row>
    <row r="88" spans="1:7" ht="11.25" customHeight="1">
      <c r="A88" t="s">
        <v>14</v>
      </c>
      <c r="B88" t="s">
        <v>3192</v>
      </c>
      <c r="C88" t="s">
        <v>3193</v>
      </c>
      <c r="D88" t="s">
        <v>3192</v>
      </c>
      <c r="E88" t="s">
        <v>3193</v>
      </c>
      <c r="F88" t="s">
        <v>3070</v>
      </c>
      <c r="G88" t="s">
        <v>3194</v>
      </c>
    </row>
    <row r="89" spans="1:7" ht="11.25" customHeight="1">
      <c r="A89" t="s">
        <v>14</v>
      </c>
      <c r="B89" t="s">
        <v>3195</v>
      </c>
      <c r="C89" t="s">
        <v>3196</v>
      </c>
      <c r="D89" t="s">
        <v>3195</v>
      </c>
      <c r="E89" t="s">
        <v>3196</v>
      </c>
      <c r="F89" t="s">
        <v>3070</v>
      </c>
      <c r="G89" t="s">
        <v>3197</v>
      </c>
    </row>
    <row r="90" spans="1:7" ht="11.25" customHeight="1">
      <c r="A90" t="s">
        <v>14</v>
      </c>
      <c r="B90" t="s">
        <v>3198</v>
      </c>
      <c r="C90" t="s">
        <v>3199</v>
      </c>
      <c r="D90" t="s">
        <v>3198</v>
      </c>
      <c r="E90" t="s">
        <v>3199</v>
      </c>
      <c r="F90" t="s">
        <v>3070</v>
      </c>
      <c r="G90" t="s">
        <v>3200</v>
      </c>
    </row>
    <row r="91" spans="1:7" ht="11.25" customHeight="1">
      <c r="A91" t="s">
        <v>14</v>
      </c>
      <c r="B91" t="s">
        <v>3201</v>
      </c>
      <c r="C91" t="s">
        <v>3202</v>
      </c>
      <c r="D91" t="s">
        <v>3203</v>
      </c>
      <c r="E91" t="s">
        <v>3204</v>
      </c>
      <c r="F91" t="s">
        <v>2997</v>
      </c>
      <c r="G91" t="s">
        <v>3205</v>
      </c>
    </row>
    <row r="92" spans="1:7" ht="11.25" customHeight="1">
      <c r="A92" t="s">
        <v>14</v>
      </c>
      <c r="B92" t="s">
        <v>3201</v>
      </c>
      <c r="C92" t="s">
        <v>3202</v>
      </c>
      <c r="D92" t="s">
        <v>3206</v>
      </c>
      <c r="E92" t="s">
        <v>3207</v>
      </c>
      <c r="F92" t="s">
        <v>2997</v>
      </c>
      <c r="G92" t="s">
        <v>3208</v>
      </c>
    </row>
    <row r="93" spans="1:7" ht="11.25" customHeight="1">
      <c r="A93" t="s">
        <v>14</v>
      </c>
      <c r="B93" t="s">
        <v>3201</v>
      </c>
      <c r="C93" t="s">
        <v>3202</v>
      </c>
      <c r="D93" t="s">
        <v>3209</v>
      </c>
      <c r="E93" t="s">
        <v>3210</v>
      </c>
      <c r="F93" t="s">
        <v>2997</v>
      </c>
      <c r="G93" t="s">
        <v>3211</v>
      </c>
    </row>
    <row r="94" spans="1:7" ht="11.25" customHeight="1">
      <c r="A94" t="s">
        <v>14</v>
      </c>
      <c r="B94" t="s">
        <v>3201</v>
      </c>
      <c r="C94" t="s">
        <v>3202</v>
      </c>
      <c r="D94" t="s">
        <v>3212</v>
      </c>
      <c r="E94" t="s">
        <v>3213</v>
      </c>
      <c r="F94" t="s">
        <v>2997</v>
      </c>
      <c r="G94" t="s">
        <v>3214</v>
      </c>
    </row>
    <row r="95" spans="1:7" ht="11.25" customHeight="1">
      <c r="A95" t="s">
        <v>14</v>
      </c>
      <c r="B95" t="s">
        <v>3201</v>
      </c>
      <c r="C95" t="s">
        <v>3202</v>
      </c>
      <c r="D95" t="s">
        <v>3201</v>
      </c>
      <c r="E95" t="s">
        <v>3202</v>
      </c>
      <c r="F95" t="s">
        <v>2994</v>
      </c>
      <c r="G95" t="s">
        <v>3215</v>
      </c>
    </row>
    <row r="96" spans="1:7" ht="11.25" customHeight="1">
      <c r="A96" t="s">
        <v>14</v>
      </c>
      <c r="B96" t="s">
        <v>3201</v>
      </c>
      <c r="C96" t="s">
        <v>3202</v>
      </c>
      <c r="D96" t="s">
        <v>3216</v>
      </c>
      <c r="E96" t="s">
        <v>3217</v>
      </c>
      <c r="F96" t="s">
        <v>2997</v>
      </c>
      <c r="G96" t="s">
        <v>3218</v>
      </c>
    </row>
    <row r="97" spans="1:7" ht="11.25" customHeight="1">
      <c r="A97" t="s">
        <v>14</v>
      </c>
      <c r="B97" t="s">
        <v>3201</v>
      </c>
      <c r="C97" t="s">
        <v>3202</v>
      </c>
      <c r="D97" t="s">
        <v>3219</v>
      </c>
      <c r="E97" t="s">
        <v>3220</v>
      </c>
      <c r="F97" t="s">
        <v>3047</v>
      </c>
      <c r="G97" t="s">
        <v>3221</v>
      </c>
    </row>
    <row r="98" spans="1:7" ht="11.25" customHeight="1">
      <c r="A98" t="s">
        <v>14</v>
      </c>
      <c r="B98" t="s">
        <v>3222</v>
      </c>
      <c r="C98" t="s">
        <v>3223</v>
      </c>
      <c r="D98" t="s">
        <v>3224</v>
      </c>
      <c r="E98" t="s">
        <v>3225</v>
      </c>
      <c r="F98" t="s">
        <v>2997</v>
      </c>
      <c r="G98" t="s">
        <v>3226</v>
      </c>
    </row>
    <row r="99" spans="1:7" ht="11.25" customHeight="1">
      <c r="A99" t="s">
        <v>14</v>
      </c>
      <c r="B99" t="s">
        <v>3222</v>
      </c>
      <c r="C99" t="s">
        <v>3223</v>
      </c>
      <c r="D99" t="s">
        <v>3227</v>
      </c>
      <c r="E99" t="s">
        <v>3228</v>
      </c>
      <c r="F99" t="s">
        <v>2997</v>
      </c>
      <c r="G99" t="s">
        <v>3229</v>
      </c>
    </row>
    <row r="100" spans="1:7" ht="11.25" customHeight="1">
      <c r="A100" t="s">
        <v>14</v>
      </c>
      <c r="B100" t="s">
        <v>3222</v>
      </c>
      <c r="C100" t="s">
        <v>3223</v>
      </c>
      <c r="D100" t="s">
        <v>3222</v>
      </c>
      <c r="E100" t="s">
        <v>3223</v>
      </c>
      <c r="F100" t="s">
        <v>2994</v>
      </c>
      <c r="G100" t="s">
        <v>3230</v>
      </c>
    </row>
    <row r="101" spans="1:7" ht="11.25" customHeight="1">
      <c r="A101" t="s">
        <v>14</v>
      </c>
      <c r="B101" t="s">
        <v>3222</v>
      </c>
      <c r="C101" t="s">
        <v>3223</v>
      </c>
      <c r="D101" t="s">
        <v>3231</v>
      </c>
      <c r="E101" t="s">
        <v>3232</v>
      </c>
      <c r="F101" t="s">
        <v>2997</v>
      </c>
      <c r="G101" t="s">
        <v>3233</v>
      </c>
    </row>
    <row r="102" spans="1:7" ht="11.25" customHeight="1">
      <c r="A102" t="s">
        <v>14</v>
      </c>
      <c r="B102" t="s">
        <v>3222</v>
      </c>
      <c r="C102" t="s">
        <v>3223</v>
      </c>
      <c r="D102" t="s">
        <v>3234</v>
      </c>
      <c r="E102" t="s">
        <v>3235</v>
      </c>
      <c r="F102" t="s">
        <v>3012</v>
      </c>
      <c r="G102" t="s">
        <v>3236</v>
      </c>
    </row>
    <row r="103" spans="1:7" ht="11.25" customHeight="1">
      <c r="A103" t="s">
        <v>14</v>
      </c>
      <c r="B103" t="s">
        <v>3237</v>
      </c>
      <c r="C103" t="s">
        <v>3238</v>
      </c>
      <c r="D103" t="s">
        <v>3239</v>
      </c>
      <c r="E103" t="s">
        <v>3240</v>
      </c>
      <c r="F103" t="s">
        <v>2997</v>
      </c>
      <c r="G103" t="s">
        <v>3241</v>
      </c>
    </row>
    <row r="104" spans="1:7" ht="11.25" customHeight="1">
      <c r="A104" t="s">
        <v>14</v>
      </c>
      <c r="B104" t="s">
        <v>3237</v>
      </c>
      <c r="C104" t="s">
        <v>3238</v>
      </c>
      <c r="D104" t="s">
        <v>3242</v>
      </c>
      <c r="E104" t="s">
        <v>3243</v>
      </c>
      <c r="F104" t="s">
        <v>2997</v>
      </c>
      <c r="G104" t="s">
        <v>3244</v>
      </c>
    </row>
    <row r="105" spans="1:7" ht="11.25" customHeight="1">
      <c r="A105" t="s">
        <v>14</v>
      </c>
      <c r="B105" t="s">
        <v>3237</v>
      </c>
      <c r="C105" t="s">
        <v>3238</v>
      </c>
      <c r="D105" t="s">
        <v>3245</v>
      </c>
      <c r="E105" t="s">
        <v>3246</v>
      </c>
      <c r="F105" t="s">
        <v>2997</v>
      </c>
      <c r="G105" t="s">
        <v>3247</v>
      </c>
    </row>
    <row r="106" spans="1:7" ht="11.25" customHeight="1">
      <c r="A106" t="s">
        <v>14</v>
      </c>
      <c r="B106" t="s">
        <v>3237</v>
      </c>
      <c r="C106" t="s">
        <v>3238</v>
      </c>
      <c r="D106" t="s">
        <v>3248</v>
      </c>
      <c r="E106" t="s">
        <v>3249</v>
      </c>
      <c r="F106" t="s">
        <v>2997</v>
      </c>
      <c r="G106" t="s">
        <v>3250</v>
      </c>
    </row>
    <row r="107" spans="1:7" ht="11.25" customHeight="1">
      <c r="A107" t="s">
        <v>14</v>
      </c>
      <c r="B107" t="s">
        <v>3237</v>
      </c>
      <c r="C107" t="s">
        <v>3238</v>
      </c>
      <c r="D107" t="s">
        <v>3251</v>
      </c>
      <c r="E107" t="s">
        <v>3252</v>
      </c>
      <c r="F107" t="s">
        <v>2997</v>
      </c>
      <c r="G107" t="s">
        <v>3253</v>
      </c>
    </row>
    <row r="108" spans="1:7" ht="11.25" customHeight="1">
      <c r="A108" t="s">
        <v>14</v>
      </c>
      <c r="B108" t="s">
        <v>3237</v>
      </c>
      <c r="C108" t="s">
        <v>3238</v>
      </c>
      <c r="D108" t="s">
        <v>3237</v>
      </c>
      <c r="E108" t="s">
        <v>3238</v>
      </c>
      <c r="F108" t="s">
        <v>2994</v>
      </c>
      <c r="G108" t="s">
        <v>3254</v>
      </c>
    </row>
    <row r="109" spans="1:7" ht="11.25" customHeight="1">
      <c r="A109" t="s">
        <v>14</v>
      </c>
      <c r="B109" t="s">
        <v>3237</v>
      </c>
      <c r="C109" t="s">
        <v>3238</v>
      </c>
      <c r="D109" t="s">
        <v>3255</v>
      </c>
      <c r="E109" t="s">
        <v>3256</v>
      </c>
      <c r="F109" t="s">
        <v>2997</v>
      </c>
      <c r="G109" t="s">
        <v>3257</v>
      </c>
    </row>
    <row r="110" spans="1:7" ht="11.25" customHeight="1">
      <c r="A110" t="s">
        <v>14</v>
      </c>
      <c r="B110" t="s">
        <v>3237</v>
      </c>
      <c r="C110" t="s">
        <v>3238</v>
      </c>
      <c r="D110" t="s">
        <v>3258</v>
      </c>
      <c r="E110" t="s">
        <v>3259</v>
      </c>
      <c r="F110" t="s">
        <v>3012</v>
      </c>
      <c r="G110" t="s">
        <v>3260</v>
      </c>
    </row>
    <row r="111" spans="1:7" ht="11.25" customHeight="1">
      <c r="A111" t="s">
        <v>14</v>
      </c>
      <c r="B111" t="s">
        <v>3261</v>
      </c>
      <c r="C111" t="s">
        <v>3262</v>
      </c>
      <c r="D111" t="s">
        <v>3263</v>
      </c>
      <c r="E111" t="s">
        <v>3264</v>
      </c>
      <c r="F111" t="s">
        <v>2997</v>
      </c>
      <c r="G111" t="s">
        <v>3265</v>
      </c>
    </row>
    <row r="112" spans="1:7" ht="11.25" customHeight="1">
      <c r="A112" t="s">
        <v>14</v>
      </c>
      <c r="B112" t="s">
        <v>3261</v>
      </c>
      <c r="C112" t="s">
        <v>3262</v>
      </c>
      <c r="D112" t="s">
        <v>3266</v>
      </c>
      <c r="E112" t="s">
        <v>3267</v>
      </c>
      <c r="F112" t="s">
        <v>2997</v>
      </c>
      <c r="G112" t="s">
        <v>3268</v>
      </c>
    </row>
    <row r="113" spans="1:7" ht="11.25" customHeight="1">
      <c r="A113" t="s">
        <v>14</v>
      </c>
      <c r="B113" t="s">
        <v>3261</v>
      </c>
      <c r="C113" t="s">
        <v>3262</v>
      </c>
      <c r="D113" t="s">
        <v>3269</v>
      </c>
      <c r="E113" t="s">
        <v>3270</v>
      </c>
      <c r="F113" t="s">
        <v>2997</v>
      </c>
      <c r="G113" t="s">
        <v>3271</v>
      </c>
    </row>
    <row r="114" spans="1:7" ht="11.25" customHeight="1">
      <c r="A114" t="s">
        <v>14</v>
      </c>
      <c r="B114" t="s">
        <v>3261</v>
      </c>
      <c r="C114" t="s">
        <v>3262</v>
      </c>
      <c r="D114" t="s">
        <v>3272</v>
      </c>
      <c r="E114" t="s">
        <v>3273</v>
      </c>
      <c r="F114" t="s">
        <v>2997</v>
      </c>
      <c r="G114" t="s">
        <v>3274</v>
      </c>
    </row>
    <row r="115" spans="1:7" ht="11.25" customHeight="1">
      <c r="A115" t="s">
        <v>14</v>
      </c>
      <c r="B115" t="s">
        <v>3261</v>
      </c>
      <c r="C115" t="s">
        <v>3262</v>
      </c>
      <c r="D115" t="s">
        <v>3261</v>
      </c>
      <c r="E115" t="s">
        <v>3262</v>
      </c>
      <c r="F115" t="s">
        <v>2994</v>
      </c>
      <c r="G115" t="s">
        <v>3275</v>
      </c>
    </row>
    <row r="116" spans="1:7" ht="11.25" customHeight="1">
      <c r="A116" t="s">
        <v>14</v>
      </c>
      <c r="B116" t="s">
        <v>3261</v>
      </c>
      <c r="C116" t="s">
        <v>3262</v>
      </c>
      <c r="D116" t="s">
        <v>3276</v>
      </c>
      <c r="E116" t="s">
        <v>3277</v>
      </c>
      <c r="F116" t="s">
        <v>2997</v>
      </c>
      <c r="G116" t="s">
        <v>3278</v>
      </c>
    </row>
    <row r="117" spans="1:7" ht="11.25" customHeight="1">
      <c r="A117" t="s">
        <v>14</v>
      </c>
      <c r="B117" t="s">
        <v>3261</v>
      </c>
      <c r="C117" t="s">
        <v>3262</v>
      </c>
      <c r="D117" t="s">
        <v>3279</v>
      </c>
      <c r="E117" t="s">
        <v>3280</v>
      </c>
      <c r="F117" t="s">
        <v>2997</v>
      </c>
      <c r="G117" t="s">
        <v>3281</v>
      </c>
    </row>
    <row r="118" spans="1:7" ht="11.25" customHeight="1">
      <c r="A118" t="s">
        <v>14</v>
      </c>
      <c r="B118" t="s">
        <v>3261</v>
      </c>
      <c r="C118" t="s">
        <v>3262</v>
      </c>
      <c r="D118" t="s">
        <v>3282</v>
      </c>
      <c r="E118" t="s">
        <v>3283</v>
      </c>
      <c r="F118" t="s">
        <v>3047</v>
      </c>
      <c r="G118" t="s">
        <v>3284</v>
      </c>
    </row>
    <row r="119" spans="1:7" ht="11.25" customHeight="1">
      <c r="A119" t="s">
        <v>14</v>
      </c>
      <c r="B119" t="s">
        <v>3285</v>
      </c>
      <c r="C119" t="s">
        <v>3286</v>
      </c>
      <c r="D119" t="s">
        <v>3287</v>
      </c>
      <c r="E119" t="s">
        <v>3288</v>
      </c>
      <c r="F119" t="s">
        <v>2997</v>
      </c>
      <c r="G119" t="s">
        <v>3289</v>
      </c>
    </row>
    <row r="120" spans="1:7" ht="11.25" customHeight="1">
      <c r="A120" t="s">
        <v>14</v>
      </c>
      <c r="B120" t="s">
        <v>3285</v>
      </c>
      <c r="C120" t="s">
        <v>3286</v>
      </c>
      <c r="D120" t="s">
        <v>3290</v>
      </c>
      <c r="E120" t="s">
        <v>3291</v>
      </c>
      <c r="F120" t="s">
        <v>2997</v>
      </c>
      <c r="G120" t="s">
        <v>3292</v>
      </c>
    </row>
    <row r="121" spans="1:7" ht="11.25" customHeight="1">
      <c r="A121" t="s">
        <v>14</v>
      </c>
      <c r="B121" t="s">
        <v>3285</v>
      </c>
      <c r="C121" t="s">
        <v>3286</v>
      </c>
      <c r="D121" t="s">
        <v>3293</v>
      </c>
      <c r="E121" t="s">
        <v>3294</v>
      </c>
      <c r="F121" t="s">
        <v>2997</v>
      </c>
      <c r="G121" t="s">
        <v>3295</v>
      </c>
    </row>
    <row r="122" spans="1:7" ht="11.25" customHeight="1">
      <c r="A122" t="s">
        <v>14</v>
      </c>
      <c r="B122" t="s">
        <v>3285</v>
      </c>
      <c r="C122" t="s">
        <v>3286</v>
      </c>
      <c r="D122" t="s">
        <v>3296</v>
      </c>
      <c r="E122" t="s">
        <v>3297</v>
      </c>
      <c r="F122" t="s">
        <v>2997</v>
      </c>
      <c r="G122" t="s">
        <v>3298</v>
      </c>
    </row>
    <row r="123" spans="1:7" ht="11.25" customHeight="1">
      <c r="A123" t="s">
        <v>14</v>
      </c>
      <c r="B123" t="s">
        <v>3285</v>
      </c>
      <c r="C123" t="s">
        <v>3286</v>
      </c>
      <c r="D123" t="s">
        <v>3299</v>
      </c>
      <c r="E123" t="s">
        <v>3300</v>
      </c>
      <c r="F123" t="s">
        <v>2997</v>
      </c>
      <c r="G123" t="s">
        <v>3301</v>
      </c>
    </row>
    <row r="124" spans="1:7" ht="11.25" customHeight="1">
      <c r="A124" t="s">
        <v>14</v>
      </c>
      <c r="B124" t="s">
        <v>3285</v>
      </c>
      <c r="C124" t="s">
        <v>3286</v>
      </c>
      <c r="D124" t="s">
        <v>3302</v>
      </c>
      <c r="E124" t="s">
        <v>3303</v>
      </c>
      <c r="F124" t="s">
        <v>2997</v>
      </c>
      <c r="G124" t="s">
        <v>3304</v>
      </c>
    </row>
    <row r="125" spans="1:7" ht="11.25" customHeight="1">
      <c r="A125" t="s">
        <v>14</v>
      </c>
      <c r="B125" t="s">
        <v>3285</v>
      </c>
      <c r="C125" t="s">
        <v>3286</v>
      </c>
      <c r="D125" t="s">
        <v>3285</v>
      </c>
      <c r="E125" t="s">
        <v>3286</v>
      </c>
      <c r="F125" t="s">
        <v>2994</v>
      </c>
      <c r="G125" t="s">
        <v>3305</v>
      </c>
    </row>
    <row r="126" spans="1:7" ht="11.25" customHeight="1">
      <c r="A126" t="s">
        <v>14</v>
      </c>
      <c r="B126" t="s">
        <v>3285</v>
      </c>
      <c r="C126" t="s">
        <v>3286</v>
      </c>
      <c r="D126" t="s">
        <v>3306</v>
      </c>
      <c r="E126" t="s">
        <v>3307</v>
      </c>
      <c r="F126" t="s">
        <v>2997</v>
      </c>
      <c r="G126" t="s">
        <v>3308</v>
      </c>
    </row>
    <row r="127" spans="1:7" ht="11.25" customHeight="1">
      <c r="A127" t="s">
        <v>14</v>
      </c>
      <c r="B127" t="s">
        <v>3309</v>
      </c>
      <c r="C127" t="s">
        <v>3310</v>
      </c>
      <c r="D127" t="s">
        <v>3309</v>
      </c>
      <c r="E127" t="s">
        <v>3310</v>
      </c>
      <c r="F127" t="s">
        <v>3311</v>
      </c>
      <c r="G127" t="s">
        <v>3312</v>
      </c>
    </row>
    <row r="128" spans="1:7" ht="11.25" customHeight="1">
      <c r="A128" t="s">
        <v>14</v>
      </c>
      <c r="B128" t="s">
        <v>3313</v>
      </c>
      <c r="C128" t="s">
        <v>3314</v>
      </c>
      <c r="D128" t="s">
        <v>3313</v>
      </c>
      <c r="E128" t="s">
        <v>3314</v>
      </c>
      <c r="F128" t="s">
        <v>3311</v>
      </c>
      <c r="G128" t="s">
        <v>3315</v>
      </c>
    </row>
    <row r="129" spans="1:7" ht="11.25" customHeight="1">
      <c r="A129" t="s">
        <v>14</v>
      </c>
      <c r="B129" t="s">
        <v>3316</v>
      </c>
      <c r="C129" t="s">
        <v>3317</v>
      </c>
      <c r="D129" t="s">
        <v>3316</v>
      </c>
      <c r="E129" t="s">
        <v>3317</v>
      </c>
      <c r="F129" t="s">
        <v>3311</v>
      </c>
      <c r="G129" t="s">
        <v>3318</v>
      </c>
    </row>
    <row r="130" spans="1:7" ht="11.25" customHeight="1">
      <c r="A130" t="s">
        <v>14</v>
      </c>
      <c r="B130" t="s">
        <v>3319</v>
      </c>
      <c r="C130" t="s">
        <v>3320</v>
      </c>
      <c r="D130" t="s">
        <v>3319</v>
      </c>
      <c r="E130" t="s">
        <v>3320</v>
      </c>
      <c r="F130" t="s">
        <v>3311</v>
      </c>
      <c r="G130" t="s">
        <v>3321</v>
      </c>
    </row>
    <row r="131" spans="1:7" ht="11.25" customHeight="1">
      <c r="A131" t="s">
        <v>14</v>
      </c>
      <c r="B131" t="s">
        <v>3322</v>
      </c>
      <c r="C131" t="s">
        <v>3323</v>
      </c>
      <c r="D131" t="s">
        <v>3322</v>
      </c>
      <c r="E131" t="s">
        <v>3323</v>
      </c>
      <c r="F131" t="s">
        <v>3311</v>
      </c>
      <c r="G131" t="s">
        <v>3324</v>
      </c>
    </row>
    <row r="132" spans="1:7" ht="11.25" customHeight="1">
      <c r="A132" t="s">
        <v>14</v>
      </c>
      <c r="B132" t="s">
        <v>3325</v>
      </c>
      <c r="C132" t="s">
        <v>3326</v>
      </c>
      <c r="D132" t="s">
        <v>3325</v>
      </c>
      <c r="E132" t="s">
        <v>3326</v>
      </c>
      <c r="F132" t="s">
        <v>3311</v>
      </c>
      <c r="G132" t="s">
        <v>3327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5"/>
    <col min="2" max="2" width="84.296875" style="1615" customWidth="1"/>
    <col min="3" max="3" width="9.09765625" style="1615"/>
  </cols>
  <sheetData>
    <row r="1" spans="1:3" ht="11.25" customHeight="1">
      <c r="A1" s="753" t="s">
        <v>3355</v>
      </c>
      <c r="B1" s="753" t="s">
        <v>3356</v>
      </c>
      <c r="C1" s="753" t="s">
        <v>568</v>
      </c>
    </row>
    <row r="2" spans="1:3" ht="11.25" customHeight="1">
      <c r="A2" s="753">
        <v>4189678</v>
      </c>
      <c r="B2" s="753" t="s">
        <v>3357</v>
      </c>
      <c r="C2" s="753" t="s">
        <v>3358</v>
      </c>
    </row>
    <row r="3" spans="1:3" ht="11.25" customHeight="1">
      <c r="A3" s="753">
        <v>4190415</v>
      </c>
      <c r="B3" s="753" t="s">
        <v>3359</v>
      </c>
      <c r="C3" s="753" t="s">
        <v>3358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80" customWidth="1"/>
    <col min="2" max="5" width="9.09765625" style="80"/>
  </cols>
  <sheetData>
    <row r="1" spans="1:5" ht="15" customHeight="1">
      <c r="A1" s="81" t="s">
        <v>3360</v>
      </c>
      <c r="B1" s="81" t="s">
        <v>3361</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3362</v>
      </c>
      <c r="B1" t="b">
        <v>1</v>
      </c>
    </row>
    <row r="2" spans="1:2" ht="11.25" customHeight="1">
      <c r="A2" t="s">
        <v>3363</v>
      </c>
      <c r="B2" t="b">
        <v>0</v>
      </c>
    </row>
    <row r="3" spans="1:2" ht="11.25" customHeight="1">
      <c r="A3" t="s">
        <v>3364</v>
      </c>
      <c r="B3" t="b">
        <v>0</v>
      </c>
    </row>
    <row r="4" spans="1:2" ht="11.25" customHeight="1">
      <c r="A4" t="s">
        <v>3365</v>
      </c>
      <c r="B4" t="b">
        <v>1</v>
      </c>
    </row>
    <row r="5" spans="1:2" ht="11.25" customHeight="1">
      <c r="A5" t="s">
        <v>3366</v>
      </c>
      <c r="B5" t="b">
        <v>0</v>
      </c>
    </row>
    <row r="6" spans="1:2" ht="11.25" customHeight="1">
      <c r="A6" t="s">
        <v>3367</v>
      </c>
      <c r="B6" t="b">
        <v>0</v>
      </c>
    </row>
    <row r="7" spans="1:2" ht="11.25" customHeight="1">
      <c r="A7" t="s">
        <v>3368</v>
      </c>
      <c r="B7" t="b">
        <v>0</v>
      </c>
    </row>
    <row r="8" spans="1:2" ht="11.25" customHeight="1">
      <c r="A8" t="s">
        <v>3369</v>
      </c>
      <c r="B8" t="b">
        <v>1</v>
      </c>
    </row>
    <row r="9" spans="1:2" ht="11.25" customHeight="1">
      <c r="A9" t="s">
        <v>3370</v>
      </c>
      <c r="B9" t="b">
        <v>0</v>
      </c>
    </row>
    <row r="10" spans="1:2" ht="11.25" customHeight="1">
      <c r="A10" t="s">
        <v>3371</v>
      </c>
      <c r="B10" t="b">
        <v>0</v>
      </c>
    </row>
    <row r="11" spans="1:2" ht="11.25" customHeight="1">
      <c r="A11" t="s">
        <v>3372</v>
      </c>
      <c r="B11" t="b">
        <v>0</v>
      </c>
    </row>
    <row r="12" spans="1:2" ht="11.25" customHeight="1">
      <c r="A12" t="s">
        <v>3373</v>
      </c>
      <c r="B12" t="b">
        <v>0</v>
      </c>
    </row>
    <row r="13" spans="1:2" ht="11.25" customHeight="1">
      <c r="A13" t="s">
        <v>3374</v>
      </c>
      <c r="B13" t="b">
        <v>0</v>
      </c>
    </row>
    <row r="14" spans="1:2" ht="11.25" customHeight="1">
      <c r="A14" t="s">
        <v>3375</v>
      </c>
      <c r="B14" t="b">
        <v>0</v>
      </c>
    </row>
    <row r="15" spans="1:2" ht="11.25" customHeight="1">
      <c r="A15" t="s">
        <v>3376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8"/>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96" customWidth="1"/>
    <col min="2" max="2" width="21.09765625" style="1796" customWidth="1"/>
  </cols>
  <sheetData>
    <row r="1" spans="1:2" ht="11.25" customHeight="1">
      <c r="A1" s="2" t="s">
        <v>3377</v>
      </c>
      <c r="B1" s="2" t="s">
        <v>3378</v>
      </c>
    </row>
    <row r="2" spans="1:2" ht="11.25" customHeight="1">
      <c r="A2" t="s">
        <v>3379</v>
      </c>
      <c r="B2" t="s">
        <v>3380</v>
      </c>
    </row>
    <row r="3" spans="1:2" ht="11.25" customHeight="1">
      <c r="A3" t="s">
        <v>3381</v>
      </c>
      <c r="B3" t="s">
        <v>3382</v>
      </c>
    </row>
    <row r="4" spans="1:2" ht="11.25" customHeight="1">
      <c r="A4" t="s">
        <v>3383</v>
      </c>
      <c r="B4" t="s">
        <v>3384</v>
      </c>
    </row>
    <row r="5" spans="1:2" ht="11.25" customHeight="1">
      <c r="A5" t="s">
        <v>3385</v>
      </c>
      <c r="B5" t="s">
        <v>3386</v>
      </c>
    </row>
    <row r="6" spans="1:2" ht="11.25" customHeight="1">
      <c r="A6" t="s">
        <v>3387</v>
      </c>
      <c r="B6" t="s">
        <v>3388</v>
      </c>
    </row>
    <row r="7" spans="1:2" ht="11.25" customHeight="1">
      <c r="A7" t="s">
        <v>3389</v>
      </c>
      <c r="B7" t="s">
        <v>3390</v>
      </c>
    </row>
    <row r="8" spans="1:2" ht="11.25" customHeight="1">
      <c r="A8" t="s">
        <v>3391</v>
      </c>
      <c r="B8" t="s">
        <v>3392</v>
      </c>
    </row>
    <row r="9" spans="1:2" ht="11.25" customHeight="1">
      <c r="A9" t="s">
        <v>3393</v>
      </c>
      <c r="B9" t="s">
        <v>3394</v>
      </c>
    </row>
    <row r="10" spans="1:2" ht="11.25" customHeight="1">
      <c r="A10" t="s">
        <v>3395</v>
      </c>
      <c r="B10" t="s">
        <v>3396</v>
      </c>
    </row>
    <row r="11" spans="1:2" ht="11.25" customHeight="1">
      <c r="A11" t="s">
        <v>3397</v>
      </c>
      <c r="B11" t="s">
        <v>3398</v>
      </c>
    </row>
    <row r="12" spans="1:2" ht="11.25" customHeight="1">
      <c r="A12" t="s">
        <v>3399</v>
      </c>
      <c r="B12" t="s">
        <v>3400</v>
      </c>
    </row>
    <row r="13" spans="1:2" ht="11.25" customHeight="1">
      <c r="A13" t="s">
        <v>3401</v>
      </c>
      <c r="B13" t="s">
        <v>3402</v>
      </c>
    </row>
    <row r="14" spans="1:2" ht="11.25" customHeight="1">
      <c r="A14" t="s">
        <v>3403</v>
      </c>
      <c r="B14" t="s">
        <v>3404</v>
      </c>
    </row>
    <row r="15" spans="1:2" ht="11.25" customHeight="1">
      <c r="A15" t="s">
        <v>3405</v>
      </c>
      <c r="B15" t="s">
        <v>3406</v>
      </c>
    </row>
    <row r="16" spans="1:2" ht="11.25" customHeight="1">
      <c r="A16" t="s">
        <v>3407</v>
      </c>
      <c r="B16" t="s">
        <v>3408</v>
      </c>
    </row>
    <row r="17" spans="1:2" ht="11.25" customHeight="1">
      <c r="A17" t="s">
        <v>3409</v>
      </c>
      <c r="B17" t="s">
        <v>3410</v>
      </c>
    </row>
    <row r="18" spans="1:2" ht="11.25" customHeight="1">
      <c r="A18" t="s">
        <v>3411</v>
      </c>
      <c r="B18" t="s">
        <v>3412</v>
      </c>
    </row>
    <row r="19" spans="1:2" ht="11.25" customHeight="1">
      <c r="A19" t="s">
        <v>3413</v>
      </c>
      <c r="B19" t="s">
        <v>3414</v>
      </c>
    </row>
    <row r="20" spans="1:2" ht="11.25" customHeight="1">
      <c r="A20" t="s">
        <v>3415</v>
      </c>
      <c r="B20" t="s">
        <v>3416</v>
      </c>
    </row>
    <row r="21" spans="1:2" ht="11.25" customHeight="1">
      <c r="A21" t="s">
        <v>3417</v>
      </c>
      <c r="B21" t="s">
        <v>3418</v>
      </c>
    </row>
    <row r="22" spans="1:2" ht="11.25" customHeight="1">
      <c r="A22" t="s">
        <v>3419</v>
      </c>
      <c r="B22" t="s">
        <v>3420</v>
      </c>
    </row>
    <row r="23" spans="1:2" ht="11.25" customHeight="1">
      <c r="A23" t="s">
        <v>3421</v>
      </c>
      <c r="B23" t="s">
        <v>3422</v>
      </c>
    </row>
    <row r="24" spans="1:2" ht="11.25" customHeight="1">
      <c r="A24" t="s">
        <v>3423</v>
      </c>
      <c r="B24" t="s">
        <v>3424</v>
      </c>
    </row>
    <row r="25" spans="1:2" ht="11.25" customHeight="1">
      <c r="A25" t="s">
        <v>3425</v>
      </c>
      <c r="B25" t="s">
        <v>3426</v>
      </c>
    </row>
    <row r="26" spans="1:2" ht="11.25" customHeight="1">
      <c r="A26" t="s">
        <v>3427</v>
      </c>
      <c r="B26" t="s">
        <v>3428</v>
      </c>
    </row>
    <row r="27" spans="1:2" ht="11.25" customHeight="1">
      <c r="A27" t="s">
        <v>3429</v>
      </c>
      <c r="B27" t="s">
        <v>3430</v>
      </c>
    </row>
    <row r="28" spans="1:2" ht="11.25" customHeight="1">
      <c r="A28" t="s">
        <v>3431</v>
      </c>
      <c r="B28" t="s">
        <v>3432</v>
      </c>
    </row>
    <row r="29" spans="1:2" ht="11.25" customHeight="1">
      <c r="A29" t="s">
        <v>3433</v>
      </c>
      <c r="B29" t="s">
        <v>3434</v>
      </c>
    </row>
    <row r="30" spans="1:2" ht="11.25" customHeight="1">
      <c r="A30" t="s">
        <v>3435</v>
      </c>
      <c r="B30" t="s">
        <v>3436</v>
      </c>
    </row>
    <row r="31" spans="1:2" ht="11.25" customHeight="1">
      <c r="A31" t="s">
        <v>3437</v>
      </c>
      <c r="B31" t="s">
        <v>3438</v>
      </c>
    </row>
    <row r="32" spans="1:2" ht="11.25" customHeight="1">
      <c r="A32" t="s">
        <v>3439</v>
      </c>
      <c r="B32" t="s">
        <v>3440</v>
      </c>
    </row>
    <row r="33" spans="1:2" ht="11.25" customHeight="1">
      <c r="A33" t="s">
        <v>3441</v>
      </c>
      <c r="B33" t="s">
        <v>3442</v>
      </c>
    </row>
    <row r="34" spans="1:2" ht="11.25" customHeight="1">
      <c r="A34" t="s">
        <v>3443</v>
      </c>
      <c r="B34" t="s">
        <v>3444</v>
      </c>
    </row>
    <row r="35" spans="1:2" ht="11.25" customHeight="1">
      <c r="A35" t="s">
        <v>3445</v>
      </c>
      <c r="B35" t="s">
        <v>3446</v>
      </c>
    </row>
    <row r="36" spans="1:2" ht="11.25" customHeight="1">
      <c r="A36" t="s">
        <v>3447</v>
      </c>
      <c r="B36" t="s">
        <v>3448</v>
      </c>
    </row>
    <row r="37" spans="1:2" ht="11.25" customHeight="1">
      <c r="A37" t="s">
        <v>3449</v>
      </c>
      <c r="B37" t="s">
        <v>3450</v>
      </c>
    </row>
    <row r="38" spans="1:2" ht="11.25" customHeight="1">
      <c r="A38" t="s">
        <v>3451</v>
      </c>
      <c r="B38" t="s">
        <v>3452</v>
      </c>
    </row>
    <row r="39" spans="1:2" ht="11.25" customHeight="1">
      <c r="A39" t="s">
        <v>3453</v>
      </c>
      <c r="B39" t="s">
        <v>3454</v>
      </c>
    </row>
    <row r="40" spans="1:2" ht="11.25" customHeight="1">
      <c r="A40" t="s">
        <v>3455</v>
      </c>
      <c r="B40" t="s">
        <v>3456</v>
      </c>
    </row>
    <row r="41" spans="1:2" ht="11.25" customHeight="1">
      <c r="A41" t="s">
        <v>3457</v>
      </c>
      <c r="B41" t="s">
        <v>3458</v>
      </c>
    </row>
    <row r="42" spans="1:2" ht="11.25" customHeight="1">
      <c r="A42" t="s">
        <v>3459</v>
      </c>
      <c r="B42" t="s">
        <v>3460</v>
      </c>
    </row>
    <row r="43" spans="1:2" ht="11.25" customHeight="1">
      <c r="A43" t="s">
        <v>3461</v>
      </c>
      <c r="B43" t="s">
        <v>3462</v>
      </c>
    </row>
    <row r="44" spans="1:2" ht="11.25" customHeight="1">
      <c r="A44" t="s">
        <v>3463</v>
      </c>
      <c r="B44" t="s">
        <v>3464</v>
      </c>
    </row>
    <row r="45" spans="1:2" ht="11.25" customHeight="1">
      <c r="A45" t="s">
        <v>3465</v>
      </c>
      <c r="B45" t="s">
        <v>3466</v>
      </c>
    </row>
    <row r="46" spans="1:2" ht="11.25" customHeight="1">
      <c r="A46" t="s">
        <v>3467</v>
      </c>
      <c r="B46" t="s">
        <v>3468</v>
      </c>
    </row>
    <row r="47" spans="1:2" ht="11.25" customHeight="1">
      <c r="A47" t="s">
        <v>3469</v>
      </c>
      <c r="B47" t="s">
        <v>3470</v>
      </c>
    </row>
    <row r="48" spans="1:2" ht="11.25" customHeight="1">
      <c r="A48" t="s">
        <v>3471</v>
      </c>
      <c r="B48" t="s">
        <v>3472</v>
      </c>
    </row>
    <row r="49" spans="1:2" ht="11.25" customHeight="1">
      <c r="A49" t="s">
        <v>3473</v>
      </c>
      <c r="B49" t="s">
        <v>3474</v>
      </c>
    </row>
    <row r="50" spans="1:2" ht="11.25" customHeight="1">
      <c r="A50" t="s">
        <v>3475</v>
      </c>
      <c r="B50" t="s">
        <v>3476</v>
      </c>
    </row>
    <row r="51" spans="1:2" ht="11.25" customHeight="1">
      <c r="A51" t="s">
        <v>3477</v>
      </c>
      <c r="B51" t="s">
        <v>3478</v>
      </c>
    </row>
    <row r="52" spans="1:2" ht="11.25" customHeight="1">
      <c r="A52" t="s">
        <v>3479</v>
      </c>
      <c r="B52" t="s">
        <v>3480</v>
      </c>
    </row>
    <row r="53" spans="1:2" ht="11.25" customHeight="1">
      <c r="A53" t="s">
        <v>3481</v>
      </c>
      <c r="B53" t="s">
        <v>3482</v>
      </c>
    </row>
    <row r="54" spans="1:2" ht="11.25" customHeight="1">
      <c r="A54" t="s">
        <v>3483</v>
      </c>
      <c r="B54" t="s">
        <v>3484</v>
      </c>
    </row>
    <row r="55" spans="1:2" ht="11.25" customHeight="1">
      <c r="A55" t="s">
        <v>3485</v>
      </c>
      <c r="B55" t="s">
        <v>3486</v>
      </c>
    </row>
    <row r="56" spans="1:2" ht="11.25" customHeight="1">
      <c r="A56" t="s">
        <v>3487</v>
      </c>
      <c r="B56" t="s">
        <v>3488</v>
      </c>
    </row>
    <row r="57" spans="1:2" ht="11.25" customHeight="1">
      <c r="A57" t="s">
        <v>3489</v>
      </c>
      <c r="B57" t="s">
        <v>3490</v>
      </c>
    </row>
    <row r="58" spans="1:2" ht="11.25" customHeight="1">
      <c r="A58" t="s">
        <v>3491</v>
      </c>
      <c r="B58" t="s">
        <v>3492</v>
      </c>
    </row>
    <row r="59" spans="1:2" ht="11.25" customHeight="1">
      <c r="A59" t="s">
        <v>3493</v>
      </c>
      <c r="B59" t="s">
        <v>3494</v>
      </c>
    </row>
    <row r="60" spans="1:2" ht="11.25" customHeight="1">
      <c r="A60" t="s">
        <v>3495</v>
      </c>
      <c r="B60" t="s">
        <v>3496</v>
      </c>
    </row>
    <row r="61" spans="1:2" ht="11.25" customHeight="1">
      <c r="A61"/>
      <c r="B61" t="s">
        <v>3497</v>
      </c>
    </row>
    <row r="62" spans="1:2" ht="11.25" customHeight="1">
      <c r="A62"/>
      <c r="B62" t="s">
        <v>3498</v>
      </c>
    </row>
    <row r="63" spans="1:2" ht="11.25" customHeight="1">
      <c r="A63"/>
      <c r="B63" t="s">
        <v>3499</v>
      </c>
    </row>
    <row r="64" spans="1:2" ht="11.25" customHeight="1">
      <c r="A64"/>
      <c r="B64" t="s">
        <v>3500</v>
      </c>
    </row>
    <row r="65" spans="1:2" ht="11.25" customHeight="1">
      <c r="A65"/>
      <c r="B65" t="s">
        <v>3501</v>
      </c>
    </row>
    <row r="66" spans="1:2" ht="11.25" customHeight="1">
      <c r="A66"/>
      <c r="B66" t="s">
        <v>3502</v>
      </c>
    </row>
    <row r="67" spans="1:2" ht="11.25" customHeight="1">
      <c r="A67"/>
      <c r="B67" t="s">
        <v>3503</v>
      </c>
    </row>
    <row r="68" spans="1:2" ht="11.25" customHeight="1">
      <c r="A68"/>
      <c r="B68" t="s">
        <v>3504</v>
      </c>
    </row>
    <row r="69" spans="1:2" ht="11.25" customHeight="1">
      <c r="A69"/>
      <c r="B69" t="s">
        <v>3505</v>
      </c>
    </row>
    <row r="70" spans="1:2" ht="11.25" customHeight="1">
      <c r="A70"/>
      <c r="B70" t="s">
        <v>3506</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96" customWidth="1"/>
    <col min="2" max="2" width="90.69921875" style="1796" customWidth="1"/>
    <col min="3" max="4" width="9.09765625" style="1796"/>
  </cols>
  <sheetData>
    <row r="1" spans="2:4" ht="11.25" customHeight="1">
      <c r="B1" s="22" t="s">
        <v>3507</v>
      </c>
    </row>
    <row r="2" spans="2:4" ht="90" customHeight="1">
      <c r="B2" s="23" t="s">
        <v>3508</v>
      </c>
    </row>
    <row r="3" spans="2:4" ht="67.5" customHeight="1">
      <c r="B3" s="23" t="s">
        <v>3509</v>
      </c>
    </row>
    <row r="4" spans="2:4" ht="33.75" customHeight="1">
      <c r="B4" s="23" t="s">
        <v>3510</v>
      </c>
    </row>
    <row r="5" spans="2:4" ht="11.25" customHeight="1">
      <c r="B5" s="23" t="s">
        <v>3511</v>
      </c>
    </row>
    <row r="6" spans="2:4" ht="22.5" customHeight="1">
      <c r="B6" s="23" t="s">
        <v>3512</v>
      </c>
    </row>
    <row r="7" spans="2:4" ht="22.5" customHeight="1">
      <c r="B7" s="23" t="s">
        <v>3513</v>
      </c>
    </row>
    <row r="8" spans="2:4" ht="22.5" customHeight="1">
      <c r="B8" s="23" t="s">
        <v>3514</v>
      </c>
    </row>
    <row r="9" spans="2:4" ht="22.5" customHeight="1">
      <c r="B9" s="23" t="s">
        <v>3515</v>
      </c>
    </row>
    <row r="10" spans="2:4" ht="56.25" customHeight="1">
      <c r="B10" s="23" t="s">
        <v>3516</v>
      </c>
    </row>
    <row r="11" spans="2:4" ht="12.75" customHeight="1">
      <c r="B11" s="77" t="s">
        <v>3517</v>
      </c>
    </row>
    <row r="12" spans="2:4" ht="11.25" customHeight="1">
      <c r="B12" s="22" t="s">
        <v>3518</v>
      </c>
    </row>
    <row r="13" spans="2:4" ht="22.5" customHeight="1">
      <c r="B13" s="23" t="s">
        <v>3519</v>
      </c>
    </row>
    <row r="14" spans="2:4" ht="67.5" customHeight="1">
      <c r="B14" s="23" t="s">
        <v>3520</v>
      </c>
    </row>
    <row r="15" spans="2:4" ht="22.5" customHeight="1">
      <c r="B15" s="23" t="s">
        <v>3521</v>
      </c>
    </row>
    <row r="16" spans="2:4" ht="11.25" customHeight="1">
      <c r="B16" s="22" t="s">
        <v>3522</v>
      </c>
      <c r="D16" s="29"/>
    </row>
    <row r="17" spans="1:2" ht="33.75" customHeight="1">
      <c r="B17" s="23" t="s">
        <v>3523</v>
      </c>
    </row>
    <row r="18" spans="1:2" ht="33.75" customHeight="1">
      <c r="B18" s="23" t="s">
        <v>3524</v>
      </c>
    </row>
    <row r="19" spans="1:2" ht="11.25" customHeight="1">
      <c r="B19" s="23" t="s">
        <v>3525</v>
      </c>
    </row>
    <row r="20" spans="1:2" ht="33.75" customHeight="1">
      <c r="B20" s="23" t="s">
        <v>3526</v>
      </c>
    </row>
    <row r="21" spans="1:2" ht="11.25" customHeight="1">
      <c r="B21" s="22" t="s">
        <v>3527</v>
      </c>
    </row>
    <row r="22" spans="1:2" ht="11.25" customHeight="1">
      <c r="B22" s="23" t="s">
        <v>3528</v>
      </c>
    </row>
    <row r="24" spans="1:2" ht="22.5" customHeight="1">
      <c r="B24" s="79" t="s">
        <v>3529</v>
      </c>
    </row>
    <row r="26" spans="1:2" ht="11.25" customHeight="1">
      <c r="B26" s="22" t="s">
        <v>3530</v>
      </c>
    </row>
    <row r="27" spans="1:2" ht="22.5" customHeight="1">
      <c r="B27" s="78" t="s">
        <v>471</v>
      </c>
    </row>
    <row r="28" spans="1:2" ht="56.25" customHeight="1">
      <c r="B28" s="78" t="s">
        <v>3531</v>
      </c>
    </row>
    <row r="29" spans="1:2" ht="11.25" customHeight="1">
      <c r="B29" s="127" t="s">
        <v>3532</v>
      </c>
    </row>
    <row r="30" spans="1:2" ht="22.5" customHeight="1">
      <c r="B30" s="78" t="s">
        <v>3533</v>
      </c>
    </row>
    <row r="32" spans="1:2" ht="11.25" customHeight="1">
      <c r="A32"/>
      <c r="B32" s="106" t="s">
        <v>3534</v>
      </c>
    </row>
    <row r="33" spans="1:2" ht="14.25" customHeight="1">
      <c r="A33" s="107">
        <v>1</v>
      </c>
      <c r="B33" s="108" t="s">
        <v>3535</v>
      </c>
    </row>
    <row r="34" spans="1:2" ht="14.25" customHeight="1">
      <c r="A34" s="107">
        <v>2</v>
      </c>
      <c r="B34" s="108" t="s">
        <v>3536</v>
      </c>
    </row>
    <row r="35" spans="1:2" ht="11.25" customHeight="1">
      <c r="B35" s="106" t="s">
        <v>3537</v>
      </c>
    </row>
    <row r="36" spans="1:2" ht="11.25" customHeight="1">
      <c r="B36" s="108" t="s">
        <v>3538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557" hidden="1" customWidth="1"/>
    <col min="2" max="2" width="9.09765625" style="1560" hidden="1" customWidth="1"/>
    <col min="3" max="3" width="3.69921875" style="1770" customWidth="1"/>
    <col min="4" max="4" width="5.59765625" style="1560" customWidth="1"/>
    <col min="5" max="5" width="38.09765625" style="1560" customWidth="1"/>
    <col min="6" max="7" width="3.69921875" style="1560" customWidth="1"/>
    <col min="8" max="8" width="38.296875" style="1560" customWidth="1"/>
    <col min="9" max="9" width="35.69921875" style="1560" customWidth="1"/>
    <col min="10" max="10" width="103.69921875" style="1560" customWidth="1"/>
    <col min="11" max="11" width="3.69921875" style="1748" customWidth="1"/>
    <col min="12" max="14" width="10.59765625" style="1567"/>
    <col min="15" max="15" width="13.69921875" style="1567" customWidth="1"/>
    <col min="16" max="16" width="15.3984375" style="1567" customWidth="1"/>
    <col min="17" max="17" width="16.296875" style="1567" customWidth="1"/>
    <col min="18" max="21" width="10.59765625" style="1567"/>
  </cols>
  <sheetData>
    <row r="1" spans="1:21" ht="14.25" hidden="1" customHeight="1">
      <c r="E1" s="342"/>
      <c r="F1" s="342"/>
      <c r="G1" s="342"/>
      <c r="H1" s="1943" t="s">
        <v>352</v>
      </c>
      <c r="I1" s="1943"/>
    </row>
    <row r="2" spans="1:21" s="1560" customFormat="1" ht="14.25" hidden="1" customHeight="1">
      <c r="C2" s="1544"/>
      <c r="D2" s="1946" t="s">
        <v>105</v>
      </c>
      <c r="E2" s="1948"/>
      <c r="F2" s="1550"/>
      <c r="G2" s="1545" t="s">
        <v>105</v>
      </c>
      <c r="H2" s="1548"/>
      <c r="I2" s="1546"/>
      <c r="L2" s="1547"/>
      <c r="M2" s="1547"/>
      <c r="N2" s="1547"/>
      <c r="O2" s="1547" t="s">
        <v>384</v>
      </c>
      <c r="P2" s="1547"/>
      <c r="Q2" s="1547"/>
      <c r="R2" s="1549" t="s">
        <v>383</v>
      </c>
      <c r="S2" s="1549" t="s">
        <v>383</v>
      </c>
      <c r="T2" s="1547"/>
      <c r="U2" s="1547"/>
    </row>
    <row r="3" spans="1:21" s="1560" customFormat="1" ht="14.25" hidden="1" customHeight="1">
      <c r="C3" s="1544"/>
      <c r="D3" s="1947"/>
      <c r="E3" s="1949"/>
      <c r="F3" s="335"/>
      <c r="G3" s="786"/>
      <c r="H3" s="786" t="s">
        <v>385</v>
      </c>
      <c r="I3" s="229"/>
      <c r="L3" s="1547"/>
      <c r="M3" s="1547"/>
      <c r="N3" s="1547"/>
      <c r="O3" s="1547"/>
      <c r="P3" s="1547"/>
      <c r="Q3" s="1547"/>
      <c r="R3" s="1549"/>
      <c r="S3" s="1549"/>
      <c r="T3" s="1547"/>
      <c r="U3" s="1547"/>
    </row>
    <row r="4" spans="1:21" ht="14.25" hidden="1" customHeight="1"/>
    <row r="5" spans="1:21" s="1539" customFormat="1" ht="6" customHeight="1">
      <c r="C5" s="620"/>
      <c r="D5" s="621"/>
      <c r="E5" s="621"/>
      <c r="F5" s="621"/>
      <c r="G5" s="621"/>
      <c r="H5" s="621" t="s">
        <v>356</v>
      </c>
      <c r="I5" s="621"/>
      <c r="J5" s="621"/>
      <c r="L5" s="1540"/>
      <c r="M5" s="1540"/>
      <c r="N5" s="1540"/>
      <c r="O5" s="1540"/>
      <c r="P5" s="1540"/>
      <c r="Q5" s="1540"/>
      <c r="R5" s="1540"/>
      <c r="S5" s="1540"/>
      <c r="T5" s="1540"/>
      <c r="U5" s="1540"/>
    </row>
    <row r="6" spans="1:21" ht="17.25" customHeight="1">
      <c r="C6" s="1436"/>
      <c r="D6" s="1833" t="s">
        <v>386</v>
      </c>
      <c r="E6" s="1834"/>
      <c r="F6" s="1834"/>
      <c r="G6" s="1834"/>
      <c r="H6" s="1834"/>
      <c r="I6" s="1834"/>
      <c r="J6" s="417"/>
      <c r="K6" s="1541"/>
    </row>
    <row r="7" spans="1:21" ht="17.25" customHeight="1">
      <c r="C7" s="1436"/>
      <c r="D7" s="1940" t="str">
        <f>IF(org=0,"Не определено",org)</f>
        <v>НАО "СВЕЗА Мантурово"</v>
      </c>
      <c r="E7" s="1941"/>
      <c r="F7" s="1941"/>
      <c r="G7" s="1941"/>
      <c r="H7" s="1941"/>
      <c r="I7" s="1941"/>
      <c r="J7" s="417"/>
      <c r="K7" s="1541"/>
    </row>
    <row r="8" spans="1:21" s="1538" customFormat="1" ht="6" customHeight="1">
      <c r="A8" s="1537"/>
      <c r="C8" s="412"/>
      <c r="D8" s="411"/>
      <c r="E8" s="411"/>
      <c r="F8" s="411"/>
      <c r="G8" s="411"/>
      <c r="H8" s="411"/>
      <c r="I8" s="411"/>
      <c r="J8" s="411"/>
      <c r="L8" s="1540"/>
      <c r="M8" s="1540"/>
      <c r="N8" s="1540"/>
      <c r="O8" s="1540"/>
      <c r="P8" s="1540"/>
      <c r="Q8" s="1540"/>
      <c r="R8" s="1540"/>
      <c r="S8" s="1540"/>
      <c r="T8" s="1540"/>
      <c r="U8" s="1540"/>
    </row>
    <row r="9" spans="1:21" s="1538" customFormat="1" ht="6" customHeight="1">
      <c r="A9" s="1537"/>
      <c r="C9" s="412"/>
      <c r="D9" s="411"/>
      <c r="E9" s="411"/>
      <c r="F9" s="411"/>
      <c r="G9" s="411"/>
      <c r="H9" s="411"/>
      <c r="I9" s="411"/>
      <c r="J9" s="411"/>
      <c r="L9" s="1547"/>
      <c r="M9" s="1547"/>
      <c r="N9" s="1547"/>
      <c r="O9" s="1547"/>
      <c r="P9" s="1547"/>
      <c r="Q9" s="1547"/>
      <c r="R9" s="1547"/>
      <c r="S9" s="1547"/>
      <c r="T9" s="1547"/>
      <c r="U9" s="1547"/>
    </row>
    <row r="10" spans="1:21" ht="14.25" customHeight="1">
      <c r="C10" s="1436"/>
      <c r="D10" s="1931" t="s">
        <v>282</v>
      </c>
      <c r="E10" s="1944"/>
      <c r="F10" s="1944"/>
      <c r="G10" s="1944"/>
      <c r="H10" s="1944"/>
      <c r="I10" s="1944"/>
      <c r="J10" s="1892" t="s">
        <v>283</v>
      </c>
    </row>
    <row r="11" spans="1:21" ht="25.5" customHeight="1">
      <c r="C11" s="1436"/>
      <c r="D11" s="1840" t="s">
        <v>87</v>
      </c>
      <c r="E11" s="1892" t="str">
        <f>IF(TEMPLATE_SPHERE&lt;&gt;"HEAT","Регулируемый вид деятельности","Вид регулируемой деятельности")</f>
        <v>Регулируемый вид деятельности</v>
      </c>
      <c r="F11" s="1895" t="s">
        <v>87</v>
      </c>
      <c r="G11" s="1896"/>
      <c r="H11" s="1894" t="s">
        <v>387</v>
      </c>
      <c r="I11" s="1894" t="s">
        <v>388</v>
      </c>
      <c r="J11" s="1892"/>
    </row>
    <row r="12" spans="1:21" ht="14.25" customHeight="1">
      <c r="C12" s="1436"/>
      <c r="D12" s="1840"/>
      <c r="E12" s="1892"/>
      <c r="F12" s="1900"/>
      <c r="G12" s="1901"/>
      <c r="H12" s="1950"/>
      <c r="I12" s="1950"/>
      <c r="J12" s="1892"/>
    </row>
    <row r="13" spans="1:21" s="1566" customFormat="1" ht="11.25" customHeight="1">
      <c r="C13" s="424"/>
      <c r="D13" s="425" t="s">
        <v>376</v>
      </c>
      <c r="E13" s="425"/>
      <c r="F13" s="425"/>
      <c r="G13" s="425"/>
      <c r="H13" s="423"/>
      <c r="I13" s="423"/>
      <c r="J13" s="363"/>
      <c r="L13" s="1540"/>
      <c r="M13" s="1540"/>
      <c r="N13" s="1540"/>
      <c r="O13" s="1540"/>
      <c r="P13" s="1540"/>
      <c r="Q13" s="1540"/>
      <c r="R13" s="1540"/>
      <c r="S13" s="1540"/>
      <c r="T13" s="1540"/>
      <c r="U13" s="1540"/>
    </row>
    <row r="14" spans="1:21" ht="14.25" customHeight="1">
      <c r="A14" s="1535"/>
      <c r="C14" s="1436"/>
      <c r="D14" s="1946" t="s">
        <v>105</v>
      </c>
      <c r="E14" s="1948"/>
      <c r="F14" s="1543"/>
      <c r="G14" s="1542" t="s">
        <v>105</v>
      </c>
      <c r="H14" s="1548"/>
      <c r="I14" s="1546"/>
      <c r="J14" s="1884" t="s">
        <v>389</v>
      </c>
      <c r="K14" s="1535"/>
      <c r="R14" s="426" t="s">
        <v>383</v>
      </c>
      <c r="S14" s="426" t="s">
        <v>383</v>
      </c>
    </row>
    <row r="15" spans="1:21" ht="14.25" customHeight="1">
      <c r="A15" s="1535"/>
      <c r="C15" s="1436"/>
      <c r="D15" s="1947"/>
      <c r="E15" s="1949"/>
      <c r="F15" s="335"/>
      <c r="G15" s="786"/>
      <c r="H15" s="786" t="s">
        <v>385</v>
      </c>
      <c r="I15" s="229"/>
      <c r="J15" s="1885"/>
      <c r="K15" s="1535"/>
      <c r="R15" s="426"/>
      <c r="S15" s="426"/>
    </row>
    <row r="16" spans="1:21" ht="14.25" customHeight="1">
      <c r="A16" s="1535"/>
      <c r="C16" s="1436"/>
      <c r="D16" s="335"/>
      <c r="E16" s="786" t="s">
        <v>117</v>
      </c>
      <c r="F16" s="229"/>
      <c r="G16" s="229"/>
      <c r="H16" s="336"/>
      <c r="I16" s="336"/>
      <c r="J16" s="1886"/>
      <c r="K16" s="1535"/>
    </row>
    <row r="17" spans="11:11" ht="14.25" customHeight="1">
      <c r="K17" s="1535"/>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1808</vt:i4>
      </vt:variant>
    </vt:vector>
  </HeadingPairs>
  <TitlesOfParts>
    <vt:vector size="189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et_union_hor</vt:lpstr>
      <vt:lpstr>Договоры</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TEHSHEET</vt:lpstr>
      <vt:lpstr>DATA_FORMS</vt:lpstr>
      <vt:lpstr>DATA_NPA</vt:lpstr>
      <vt:lpstr>Т-ТЭ | потр</vt:lpstr>
      <vt:lpstr>Т-ТЭ | предел</vt:lpstr>
      <vt:lpstr>Т-ТЭ | индикат</vt:lpstr>
      <vt:lpstr>Т-подкл(инд)</vt:lpstr>
      <vt:lpstr>Порядок ТП</vt:lpstr>
      <vt:lpstr>Сведения о закупках</vt:lpstr>
      <vt:lpstr>modMainProcedures</vt:lpstr>
      <vt:lpstr>Потребительские характеристики</vt:lpstr>
      <vt:lpstr>ТП</vt:lpstr>
      <vt:lpstr>Ограничения</vt:lpstr>
      <vt:lpstr>Предложение</vt:lpstr>
      <vt:lpstr>ХВС. Т-пит</vt:lpstr>
      <vt:lpstr>ХВС. Т-тех</vt:lpstr>
      <vt:lpstr>ХВС. Т-транс</vt:lpstr>
      <vt:lpstr>ХВС. Т-подвоз</vt:lpstr>
      <vt:lpstr>ХВС. Т-подкл</vt:lpstr>
      <vt:lpstr>Показатели ФХД</vt:lpstr>
      <vt:lpstr>Показатели ФХД &gt;20%</vt:lpstr>
      <vt:lpstr>ТКО. Показатели ФХД</vt:lpstr>
      <vt:lpstr>ТКО. Транс. Показатели ФХД</vt:lpstr>
      <vt:lpstr>Показатели КНЭ</vt:lpstr>
      <vt:lpstr>ИП</vt:lpstr>
      <vt:lpstr>ИП. Детализация</vt:lpstr>
      <vt:lpstr>ИП. Финансовый план</vt:lpstr>
      <vt:lpstr>ИП. КНЭ</vt:lpstr>
      <vt:lpstr>ГВС. Т-гор.вода</vt:lpstr>
      <vt:lpstr>ГВС. Т-транс</vt:lpstr>
      <vt:lpstr>ГВС. Т-подкл</vt:lpstr>
      <vt:lpstr>ВО. Т-во</vt:lpstr>
      <vt:lpstr>ВО. Т-транс</vt:lpstr>
      <vt:lpstr>ВО. Т-подкл</vt:lpstr>
      <vt:lpstr>modB_FHD</vt:lpstr>
      <vt:lpstr>modB_FHD20</vt:lpstr>
      <vt:lpstr>modB_KNE</vt:lpstr>
      <vt:lpstr>modIP_MAIN</vt:lpstr>
      <vt:lpstr>modIP_QRE</vt:lpstr>
      <vt:lpstr>modIP_DETAILED</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et_OFFER_p2</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2024-04-11T08:17:43Z</dcterms:modified>
</cp:coreProperties>
</file>